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35" windowWidth="9180" windowHeight="4500" activeTab="0"/>
  </bookViews>
  <sheets>
    <sheet name="Titulaire" sheetId="1" r:id="rId1"/>
    <sheet name="ANT temps plein ou incomplet" sheetId="2" r:id="rId2"/>
    <sheet name="ANT temps partiel" sheetId="3" r:id="rId3"/>
  </sheets>
  <definedNames/>
  <calcPr fullCalcOnLoad="1"/>
</workbook>
</file>

<file path=xl/sharedStrings.xml><?xml version="1.0" encoding="utf-8"?>
<sst xmlns="http://schemas.openxmlformats.org/spreadsheetml/2006/main" count="114" uniqueCount="58">
  <si>
    <t>Traitement Brut</t>
  </si>
  <si>
    <t>Indemnité de résidence</t>
  </si>
  <si>
    <t>A payer</t>
  </si>
  <si>
    <t>A déduire</t>
  </si>
  <si>
    <t>Indemnité 2</t>
  </si>
  <si>
    <t>Indemnité 3</t>
  </si>
  <si>
    <t>Indemnité 4</t>
  </si>
  <si>
    <t>CSG non déductible</t>
  </si>
  <si>
    <t>CSG déductible</t>
  </si>
  <si>
    <t>R.D.S.</t>
  </si>
  <si>
    <t>Total +</t>
  </si>
  <si>
    <t>SFT</t>
  </si>
  <si>
    <t>Avantages en nature</t>
  </si>
  <si>
    <t>Cot ouv ircantec tr A</t>
  </si>
  <si>
    <t>Cot ouv ircantec tr B</t>
  </si>
  <si>
    <t>Zones grisées à remplir si nécessaire</t>
  </si>
  <si>
    <t>Zones turquoises obligatoires</t>
  </si>
  <si>
    <t>Valeur du point</t>
  </si>
  <si>
    <t>Indice majoré</t>
  </si>
  <si>
    <t>Pension Civile</t>
  </si>
  <si>
    <t>Plafond Sécu</t>
  </si>
  <si>
    <t>Taux Pension Civile</t>
  </si>
  <si>
    <t>Taux IRCANTEC Tr A</t>
  </si>
  <si>
    <t>Taux IRCANTEC Tr B</t>
  </si>
  <si>
    <t>Quotité rémunérée</t>
  </si>
  <si>
    <t>Résidence</t>
  </si>
  <si>
    <t>Zone résidence</t>
  </si>
  <si>
    <t>Rbsmt dom travail</t>
  </si>
  <si>
    <t>Cot ouv vieillesse plafonnée</t>
  </si>
  <si>
    <t>quotité rémunérée</t>
  </si>
  <si>
    <t>Transfert Primes/Points</t>
  </si>
  <si>
    <t>Ind Compensatrice CSG</t>
  </si>
  <si>
    <t>Taux PAS</t>
  </si>
  <si>
    <t>Net à Payer avant PAS</t>
  </si>
  <si>
    <t>Net à Payer après PAS</t>
  </si>
  <si>
    <t>PAS</t>
  </si>
  <si>
    <t>Net à payer avant PAS</t>
  </si>
  <si>
    <t>MONTANT Imposable</t>
  </si>
  <si>
    <t>Net à payer après PAS</t>
  </si>
  <si>
    <t>Vieillesse plafonnée</t>
  </si>
  <si>
    <t>Vieillesse déplafonnée</t>
  </si>
  <si>
    <t>Montant Imposable</t>
  </si>
  <si>
    <t>Si SFT : Nb enfants</t>
  </si>
  <si>
    <t>NBI</t>
  </si>
  <si>
    <t>Traitement Brut NBI</t>
  </si>
  <si>
    <t>Pension Civile NBI</t>
  </si>
  <si>
    <t>Total indemnités + SFT</t>
  </si>
  <si>
    <t>Transfert P/Points</t>
  </si>
  <si>
    <t>RAFP</t>
  </si>
  <si>
    <t>Ind Télétravail</t>
  </si>
  <si>
    <t>Participation PSC</t>
  </si>
  <si>
    <t xml:space="preserve">Compensatrice CSG </t>
  </si>
  <si>
    <t>Non concerné</t>
  </si>
  <si>
    <t>Cot ouv vieillessse déplaf</t>
  </si>
  <si>
    <t>Traitement Titulaire 01/01/2024</t>
  </si>
  <si>
    <t>Traitement non titulaire 01/01/2024</t>
  </si>
  <si>
    <t>quotité travaillée</t>
  </si>
  <si>
    <t>Traitement non titulaire Temps Partiel 01/01/2024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</si>
</sst>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\ _F"/>
    <numFmt numFmtId="175" formatCode="0.00000"/>
    <numFmt numFmtId="176" formatCode="_-* #,##0.00000\ _€_-;\-* #,##0.00000\ _€_-;_-* &quot;-&quot;?????\ _€_-;_-@_-"/>
    <numFmt numFmtId="177" formatCode="0.0%"/>
  </numFmts>
  <fonts count="7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b/>
      <sz val="14"/>
      <color indexed="51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5"/>
      <name val="Arial"/>
      <family val="2"/>
    </font>
    <font>
      <b/>
      <i/>
      <sz val="15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5"/>
      <color indexed="60"/>
      <name val="Arial"/>
      <family val="2"/>
    </font>
    <font>
      <sz val="10"/>
      <color indexed="60"/>
      <name val="Arial"/>
      <family val="2"/>
    </font>
    <font>
      <sz val="10"/>
      <color indexed="36"/>
      <name val="Arial"/>
      <family val="2"/>
    </font>
    <font>
      <sz val="10"/>
      <color indexed="9"/>
      <name val="Arial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60"/>
      <name val="Calibri"/>
      <family val="2"/>
    </font>
    <font>
      <sz val="12"/>
      <color indexed="3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5"/>
      <color rgb="FFC00000"/>
      <name val="Arial"/>
      <family val="2"/>
    </font>
    <font>
      <sz val="10"/>
      <color theme="9" tint="-0.4999699890613556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theme="9" tint="-0.4999699890613556"/>
      <name val="Calibri"/>
      <family val="2"/>
    </font>
    <font>
      <sz val="12"/>
      <color rgb="FF7030A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04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5" fontId="9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175" fontId="8" fillId="33" borderId="0" xfId="0" applyNumberFormat="1" applyFont="1" applyFill="1" applyAlignment="1">
      <alignment horizontal="center"/>
    </xf>
    <xf numFmtId="175" fontId="8" fillId="0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0" fontId="1" fillId="34" borderId="0" xfId="0" applyNumberFormat="1" applyFont="1" applyFill="1" applyAlignment="1">
      <alignment/>
    </xf>
    <xf numFmtId="10" fontId="1" fillId="34" borderId="11" xfId="0" applyNumberFormat="1" applyFont="1" applyFill="1" applyBorder="1" applyAlignment="1">
      <alignment horizontal="center"/>
    </xf>
    <xf numFmtId="10" fontId="1" fillId="34" borderId="12" xfId="0" applyNumberFormat="1" applyFont="1" applyFill="1" applyBorder="1" applyAlignment="1">
      <alignment horizontal="center"/>
    </xf>
    <xf numFmtId="10" fontId="1" fillId="34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0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3" fontId="0" fillId="35" borderId="0" xfId="0" applyNumberFormat="1" applyFill="1" applyAlignment="1" applyProtection="1">
      <alignment/>
      <protection locked="0"/>
    </xf>
    <xf numFmtId="9" fontId="0" fillId="35" borderId="0" xfId="0" applyNumberFormat="1" applyFill="1" applyAlignment="1" applyProtection="1">
      <alignment/>
      <protection locked="0"/>
    </xf>
    <xf numFmtId="173" fontId="0" fillId="36" borderId="0" xfId="0" applyNumberFormat="1" applyFill="1" applyAlignment="1" applyProtection="1">
      <alignment/>
      <protection locked="0"/>
    </xf>
    <xf numFmtId="0" fontId="0" fillId="37" borderId="10" xfId="0" applyFill="1" applyBorder="1" applyAlignment="1" applyProtection="1">
      <alignment horizontal="center"/>
      <protection locked="0"/>
    </xf>
    <xf numFmtId="9" fontId="0" fillId="37" borderId="10" xfId="0" applyNumberFormat="1" applyFill="1" applyBorder="1" applyAlignment="1" applyProtection="1">
      <alignment/>
      <protection locked="0"/>
    </xf>
    <xf numFmtId="173" fontId="0" fillId="36" borderId="10" xfId="0" applyNumberForma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165" fontId="0" fillId="0" borderId="0" xfId="0" applyNumberFormat="1" applyAlignment="1">
      <alignment/>
    </xf>
    <xf numFmtId="173" fontId="0" fillId="0" borderId="10" xfId="0" applyNumberFormat="1" applyBorder="1" applyAlignment="1" applyProtection="1">
      <alignment/>
      <protection locked="0"/>
    </xf>
    <xf numFmtId="173" fontId="0" fillId="38" borderId="0" xfId="0" applyNumberFormat="1" applyFill="1" applyAlignment="1" applyProtection="1">
      <alignment/>
      <protection locked="0"/>
    </xf>
    <xf numFmtId="9" fontId="0" fillId="37" borderId="0" xfId="0" applyNumberFormat="1" applyFill="1" applyAlignment="1" applyProtection="1">
      <alignment/>
      <protection locked="0"/>
    </xf>
    <xf numFmtId="9" fontId="67" fillId="12" borderId="0" xfId="0" applyNumberFormat="1" applyFont="1" applyFill="1" applyAlignment="1" applyProtection="1">
      <alignment horizontal="center" vertical="center"/>
      <protection locked="0"/>
    </xf>
    <xf numFmtId="0" fontId="68" fillId="12" borderId="0" xfId="0" applyFont="1" applyFill="1" applyAlignment="1">
      <alignment horizontal="left" vertical="center"/>
    </xf>
    <xf numFmtId="0" fontId="1" fillId="34" borderId="14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2" fontId="0" fillId="35" borderId="0" xfId="0" applyNumberForma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2" fontId="0" fillId="37" borderId="10" xfId="0" applyNumberFormat="1" applyFill="1" applyBorder="1" applyAlignment="1" applyProtection="1">
      <alignment/>
      <protection locked="0"/>
    </xf>
    <xf numFmtId="173" fontId="0" fillId="0" borderId="10" xfId="0" applyNumberFormat="1" applyFill="1" applyBorder="1" applyAlignment="1" applyProtection="1">
      <alignment/>
      <protection locked="0"/>
    </xf>
    <xf numFmtId="177" fontId="12" fillId="35" borderId="0" xfId="0" applyNumberFormat="1" applyFont="1" applyFill="1" applyAlignment="1" applyProtection="1">
      <alignment horizontal="center" vertical="center"/>
      <protection locked="0"/>
    </xf>
    <xf numFmtId="173" fontId="0" fillId="0" borderId="0" xfId="0" applyNumberFormat="1" applyFill="1" applyAlignment="1">
      <alignment/>
    </xf>
    <xf numFmtId="0" fontId="1" fillId="0" borderId="10" xfId="0" applyFont="1" applyBorder="1" applyAlignment="1">
      <alignment horizontal="center" vertical="center"/>
    </xf>
    <xf numFmtId="165" fontId="10" fillId="39" borderId="10" xfId="0" applyNumberFormat="1" applyFont="1" applyFill="1" applyBorder="1" applyAlignment="1">
      <alignment horizontal="center" vertical="center"/>
    </xf>
    <xf numFmtId="165" fontId="10" fillId="39" borderId="10" xfId="0" applyNumberFormat="1" applyFont="1" applyFill="1" applyBorder="1" applyAlignment="1">
      <alignment horizontal="center"/>
    </xf>
    <xf numFmtId="165" fontId="10" fillId="39" borderId="10" xfId="0" applyNumberFormat="1" applyFont="1" applyFill="1" applyBorder="1" applyAlignment="1">
      <alignment/>
    </xf>
    <xf numFmtId="165" fontId="69" fillId="39" borderId="10" xfId="0" applyNumberFormat="1" applyFont="1" applyFill="1" applyBorder="1" applyAlignment="1">
      <alignment horizontal="center" vertical="center"/>
    </xf>
    <xf numFmtId="173" fontId="14" fillId="0" borderId="15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165" fontId="14" fillId="0" borderId="20" xfId="0" applyNumberFormat="1" applyFont="1" applyBorder="1" applyAlignment="1">
      <alignment/>
    </xf>
    <xf numFmtId="0" fontId="15" fillId="0" borderId="0" xfId="0" applyFont="1" applyAlignment="1">
      <alignment/>
    </xf>
    <xf numFmtId="173" fontId="15" fillId="0" borderId="0" xfId="0" applyNumberFormat="1" applyFont="1" applyFill="1" applyAlignment="1" applyProtection="1">
      <alignment/>
      <protection/>
    </xf>
    <xf numFmtId="0" fontId="70" fillId="0" borderId="0" xfId="0" applyFont="1" applyAlignment="1">
      <alignment/>
    </xf>
    <xf numFmtId="0" fontId="7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173" fontId="70" fillId="0" borderId="10" xfId="0" applyNumberFormat="1" applyFont="1" applyFill="1" applyBorder="1" applyAlignment="1">
      <alignment/>
    </xf>
    <xf numFmtId="174" fontId="70" fillId="0" borderId="10" xfId="0" applyNumberFormat="1" applyFont="1" applyFill="1" applyBorder="1" applyAlignment="1">
      <alignment/>
    </xf>
    <xf numFmtId="0" fontId="72" fillId="0" borderId="0" xfId="0" applyFont="1" applyAlignment="1">
      <alignment/>
    </xf>
    <xf numFmtId="173" fontId="0" fillId="0" borderId="0" xfId="0" applyNumberFormat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173" fontId="16" fillId="0" borderId="0" xfId="0" applyNumberFormat="1" applyFont="1" applyAlignment="1">
      <alignment/>
    </xf>
    <xf numFmtId="173" fontId="73" fillId="0" borderId="0" xfId="0" applyNumberFormat="1" applyFont="1" applyAlignment="1" applyProtection="1">
      <alignment/>
      <protection/>
    </xf>
    <xf numFmtId="173" fontId="73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74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76" fillId="0" borderId="10" xfId="0" applyFont="1" applyFill="1" applyBorder="1" applyAlignment="1">
      <alignment/>
    </xf>
    <xf numFmtId="0" fontId="77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wrapText="1"/>
    </xf>
    <xf numFmtId="12" fontId="0" fillId="37" borderId="0" xfId="0" applyNumberFormat="1" applyFill="1" applyAlignment="1" applyProtection="1">
      <alignment/>
      <protection locked="0"/>
    </xf>
    <xf numFmtId="0" fontId="6" fillId="4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1" borderId="0" xfId="0" applyFont="1" applyFill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/>
    </xf>
    <xf numFmtId="12" fontId="0" fillId="0" borderId="0" xfId="0" applyNumberFormat="1" applyAlignment="1">
      <alignment/>
    </xf>
    <xf numFmtId="0" fontId="4" fillId="40" borderId="23" xfId="0" applyFont="1" applyFill="1" applyBorder="1" applyAlignment="1">
      <alignment horizontal="center"/>
    </xf>
    <xf numFmtId="0" fontId="4" fillId="40" borderId="25" xfId="0" applyFont="1" applyFill="1" applyBorder="1" applyAlignment="1">
      <alignment horizontal="center"/>
    </xf>
    <xf numFmtId="0" fontId="4" fillId="40" borderId="24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PageLayoutView="0" workbookViewId="0" topLeftCell="A1">
      <selection activeCell="B23" sqref="B23"/>
    </sheetView>
  </sheetViews>
  <sheetFormatPr defaultColWidth="11.421875" defaultRowHeight="12.75"/>
  <cols>
    <col min="1" max="1" width="22.28125" style="0" customWidth="1"/>
    <col min="2" max="2" width="13.421875" style="1" customWidth="1"/>
    <col min="3" max="3" width="11.421875" style="1" customWidth="1"/>
    <col min="4" max="4" width="12.00390625" style="0" customWidth="1"/>
    <col min="6" max="6" width="16.140625" style="0" bestFit="1" customWidth="1"/>
    <col min="10" max="10" width="1.8515625" style="0" customWidth="1"/>
  </cols>
  <sheetData>
    <row r="1" spans="1:5" ht="18">
      <c r="A1" s="8" t="s">
        <v>17</v>
      </c>
      <c r="B1" s="9">
        <f>5907.34/1200</f>
        <v>4.922783333333333</v>
      </c>
      <c r="D1" s="11" t="s">
        <v>20</v>
      </c>
      <c r="E1" s="11">
        <v>3864</v>
      </c>
    </row>
    <row r="2" spans="1:2" ht="18">
      <c r="A2" s="6"/>
      <c r="B2" s="10"/>
    </row>
    <row r="3" spans="1:4" ht="18">
      <c r="A3" s="81" t="s">
        <v>54</v>
      </c>
      <c r="B3" s="81"/>
      <c r="C3" s="81"/>
      <c r="D3" s="81"/>
    </row>
    <row r="5" spans="1:6" ht="15.75">
      <c r="A5" s="5" t="s">
        <v>18</v>
      </c>
      <c r="B5" s="26">
        <v>0</v>
      </c>
      <c r="D5" s="5" t="s">
        <v>21</v>
      </c>
      <c r="E5" s="5"/>
      <c r="F5" s="19">
        <v>0.111</v>
      </c>
    </row>
    <row r="6" spans="1:6" ht="15.75">
      <c r="A6" s="5" t="s">
        <v>43</v>
      </c>
      <c r="B6" s="26">
        <v>0</v>
      </c>
      <c r="D6" s="5"/>
      <c r="E6" s="5"/>
      <c r="F6" s="19"/>
    </row>
    <row r="7" spans="1:10" ht="15.75">
      <c r="A7" s="5" t="s">
        <v>24</v>
      </c>
      <c r="B7" s="27">
        <v>1</v>
      </c>
      <c r="D7" s="84"/>
      <c r="E7" s="84"/>
      <c r="F7" s="42"/>
      <c r="J7">
        <f>IF(B9=0,0,IF(B9=1,2.29,IF(B9=2,10.67+0.03*B1*MEDIAN(454,722,B5+B6),15.24+4.57*(B9-3)+((B9-3)*0.06+0.08)*B1*MEDIAN(B5+B6,454,722))))*B7</f>
        <v>0</v>
      </c>
    </row>
    <row r="8" spans="1:10" ht="15.75">
      <c r="A8" s="5" t="s">
        <v>25</v>
      </c>
      <c r="B8" s="27">
        <v>0</v>
      </c>
      <c r="D8" s="18"/>
      <c r="E8" s="18"/>
      <c r="F8" s="42"/>
      <c r="J8">
        <f>IF(B9=0,0,IF(B9=1,2.29,IF(B9=2,10.67+0.03*B1*454,15.24+4.57*(B9-3)+((B9-3)*0.06+0.08)*B1*454)))</f>
        <v>0</v>
      </c>
    </row>
    <row r="9" spans="1:6" ht="15.75">
      <c r="A9" s="5" t="s">
        <v>42</v>
      </c>
      <c r="B9" s="41">
        <v>0</v>
      </c>
      <c r="D9" s="18"/>
      <c r="E9" s="18"/>
      <c r="F9" s="42"/>
    </row>
    <row r="10" spans="1:6" ht="15.75">
      <c r="A10" s="38" t="s">
        <v>47</v>
      </c>
      <c r="B10" s="37" t="s">
        <v>52</v>
      </c>
      <c r="D10" s="18"/>
      <c r="E10" s="18"/>
      <c r="F10" s="42"/>
    </row>
    <row r="11" spans="2:6" ht="23.25" customHeight="1">
      <c r="B11" s="70" t="s">
        <v>2</v>
      </c>
      <c r="C11" s="70" t="s">
        <v>3</v>
      </c>
      <c r="D11" s="85" t="s">
        <v>32</v>
      </c>
      <c r="E11" s="85"/>
      <c r="F11" s="45">
        <v>0</v>
      </c>
    </row>
    <row r="13" spans="1:6" ht="12.75">
      <c r="A13" t="s">
        <v>0</v>
      </c>
      <c r="B13" s="68">
        <f>B7*B5*B1</f>
        <v>0</v>
      </c>
      <c r="F13" s="1"/>
    </row>
    <row r="14" spans="1:6" ht="12.75">
      <c r="A14" t="s">
        <v>44</v>
      </c>
      <c r="B14" s="68">
        <f>B7*B6*B1</f>
        <v>0</v>
      </c>
      <c r="F14" s="1"/>
    </row>
    <row r="15" spans="1:6" ht="12.75">
      <c r="A15" s="61" t="s">
        <v>19</v>
      </c>
      <c r="C15" s="1">
        <f>B13*F5</f>
        <v>0</v>
      </c>
      <c r="F15" s="1"/>
    </row>
    <row r="16" spans="1:6" ht="12.75">
      <c r="A16" s="61" t="s">
        <v>45</v>
      </c>
      <c r="C16" s="1">
        <f>B14*F5</f>
        <v>0</v>
      </c>
      <c r="F16" s="1"/>
    </row>
    <row r="17" spans="1:3" ht="12.75">
      <c r="A17" s="61" t="s">
        <v>48</v>
      </c>
      <c r="C17" s="1">
        <f>(MEDIAN(0,0.2*B13,B24+B25-C33)*0.05)</f>
        <v>0</v>
      </c>
    </row>
    <row r="18" spans="1:2" ht="12.75">
      <c r="A18" t="s">
        <v>1</v>
      </c>
      <c r="B18" s="68">
        <f>IF(B5=0,0,MAX(B8*F7*B1*B7,B8*(B13+B14)))</f>
        <v>0</v>
      </c>
    </row>
    <row r="19" spans="1:2" ht="13.5" thickBot="1">
      <c r="A19" t="s">
        <v>11</v>
      </c>
      <c r="B19" s="69">
        <f>MAX(J7,J8)</f>
        <v>0</v>
      </c>
    </row>
    <row r="20" spans="1:6" ht="14.25">
      <c r="A20" t="s">
        <v>31</v>
      </c>
      <c r="B20" s="28">
        <v>0</v>
      </c>
      <c r="D20" s="89" t="s">
        <v>41</v>
      </c>
      <c r="E20" s="90"/>
      <c r="F20" s="52">
        <f>B29+B25-C15-C17-C31-C33-C16+B27</f>
        <v>0</v>
      </c>
    </row>
    <row r="21" spans="1:6" ht="14.25">
      <c r="A21" t="s">
        <v>4</v>
      </c>
      <c r="B21" s="28">
        <v>0</v>
      </c>
      <c r="D21" s="53"/>
      <c r="E21" s="54"/>
      <c r="F21" s="55"/>
    </row>
    <row r="22" spans="1:6" ht="15" thickBot="1">
      <c r="A22" t="s">
        <v>5</v>
      </c>
      <c r="B22" s="28"/>
      <c r="D22" s="56"/>
      <c r="E22" s="57" t="s">
        <v>35</v>
      </c>
      <c r="F22" s="58">
        <f>F20*F11</f>
        <v>0</v>
      </c>
    </row>
    <row r="23" spans="1:2" ht="12.75">
      <c r="A23" t="s">
        <v>6</v>
      </c>
      <c r="B23" s="28"/>
    </row>
    <row r="24" spans="1:2" ht="15" customHeight="1">
      <c r="A24" s="59" t="s">
        <v>46</v>
      </c>
      <c r="B24" s="60">
        <f>SUM(B18:B23)</f>
        <v>0</v>
      </c>
    </row>
    <row r="25" spans="1:2" ht="12.75">
      <c r="A25" s="67" t="s">
        <v>12</v>
      </c>
      <c r="B25" s="28"/>
    </row>
    <row r="26" spans="1:2" ht="12.75">
      <c r="A26" s="64" t="s">
        <v>49</v>
      </c>
      <c r="B26" s="28"/>
    </row>
    <row r="27" spans="1:2" ht="12.75">
      <c r="A27" s="64" t="s">
        <v>50</v>
      </c>
      <c r="B27" s="28"/>
    </row>
    <row r="28" spans="1:2" ht="12.75">
      <c r="A28" s="64" t="s">
        <v>27</v>
      </c>
      <c r="B28" s="35"/>
    </row>
    <row r="29" spans="2:6" ht="18.75" customHeight="1">
      <c r="B29" s="71">
        <f>B13+B24+B14</f>
        <v>0</v>
      </c>
      <c r="D29" s="86" t="s">
        <v>33</v>
      </c>
      <c r="E29" s="87"/>
      <c r="F29" s="7">
        <f>B29-C15-C17-C30-C31-C32+B28-C33+B26+B27-C16</f>
        <v>0</v>
      </c>
    </row>
    <row r="30" spans="1:3" ht="12.75">
      <c r="A30" s="62" t="s">
        <v>7</v>
      </c>
      <c r="B30" s="46"/>
      <c r="C30" s="46">
        <f>0.9825*0.024*(B29+B25-C33+B27)</f>
        <v>0</v>
      </c>
    </row>
    <row r="31" spans="1:3" ht="12.75">
      <c r="A31" s="62" t="s">
        <v>8</v>
      </c>
      <c r="B31" s="46"/>
      <c r="C31" s="46">
        <f>0.9825*0.068*(B29+B25-C33+B27)</f>
        <v>0</v>
      </c>
    </row>
    <row r="32" spans="1:8" ht="18">
      <c r="A32" s="62" t="s">
        <v>9</v>
      </c>
      <c r="B32" s="46"/>
      <c r="C32" s="63">
        <f>0.9825*0.005*(B29+B25-C33+B27)</f>
        <v>0</v>
      </c>
      <c r="D32" s="88" t="s">
        <v>34</v>
      </c>
      <c r="E32" s="88"/>
      <c r="F32" s="7">
        <f>F29-F22</f>
        <v>0</v>
      </c>
      <c r="H32" s="33"/>
    </row>
    <row r="33" spans="1:3" ht="12.75">
      <c r="A33" s="62" t="s">
        <v>30</v>
      </c>
      <c r="B33" s="46">
        <v>0</v>
      </c>
      <c r="C33" s="46">
        <f>IF(Titulaire!B10="Cat A",32.42,IF(Titulaire!B10="Cat B",23.17,IF(Titulaire!B10="Cat C",13.92,0)))*B7</f>
        <v>0</v>
      </c>
    </row>
    <row r="34" spans="1:6" ht="12.75">
      <c r="A34" s="82" t="s">
        <v>15</v>
      </c>
      <c r="B34" s="82"/>
      <c r="C34" s="82"/>
      <c r="D34" s="82"/>
      <c r="F34" s="23"/>
    </row>
    <row r="35" spans="1:4" ht="12.75">
      <c r="A35" s="83" t="s">
        <v>16</v>
      </c>
      <c r="B35" s="83"/>
      <c r="C35" s="83"/>
      <c r="D35" s="83"/>
    </row>
  </sheetData>
  <sheetProtection sheet="1"/>
  <mergeCells count="8">
    <mergeCell ref="A3:D3"/>
    <mergeCell ref="A34:D34"/>
    <mergeCell ref="A35:D35"/>
    <mergeCell ref="D7:E7"/>
    <mergeCell ref="D11:E11"/>
    <mergeCell ref="D29:E29"/>
    <mergeCell ref="D32:E32"/>
    <mergeCell ref="D20:E20"/>
  </mergeCells>
  <dataValidations count="3">
    <dataValidation type="list" allowBlank="1" showInputMessage="1" showErrorMessage="1" sqref="B10">
      <formula1>"Non concerné,Cat A,Cat B,Cat C"</formula1>
    </dataValidation>
    <dataValidation type="list" allowBlank="1" showInputMessage="1" showErrorMessage="1" sqref="B7">
      <formula1>"50%,60%,70%,6/7,32/35,100%"</formula1>
    </dataValidation>
    <dataValidation type="list" allowBlank="1" showInputMessage="1" showErrorMessage="1" sqref="B8">
      <formula1>"0%,1%,3%"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4">
      <selection activeCell="B11" sqref="B11"/>
    </sheetView>
  </sheetViews>
  <sheetFormatPr defaultColWidth="11.421875" defaultRowHeight="12.75"/>
  <cols>
    <col min="1" max="1" width="27.8515625" style="0" customWidth="1"/>
    <col min="2" max="2" width="11.28125" style="0" customWidth="1"/>
    <col min="3" max="3" width="10.28125" style="3" customWidth="1"/>
    <col min="4" max="4" width="11.28125" style="0" customWidth="1"/>
    <col min="5" max="5" width="11.7109375" style="0" customWidth="1"/>
    <col min="6" max="6" width="15.8515625" style="0" customWidth="1"/>
    <col min="8" max="8" width="14.421875" style="0" customWidth="1"/>
  </cols>
  <sheetData>
    <row r="1" spans="1:2" ht="21" customHeight="1">
      <c r="A1" s="8" t="s">
        <v>17</v>
      </c>
      <c r="B1" s="9">
        <f>Titulaire!B1</f>
        <v>4.922783333333333</v>
      </c>
    </row>
    <row r="2" ht="12.75">
      <c r="G2" s="4"/>
    </row>
    <row r="3" spans="1:6" ht="18">
      <c r="A3" s="99" t="s">
        <v>55</v>
      </c>
      <c r="B3" s="99"/>
      <c r="C3" s="99"/>
      <c r="D3" s="99"/>
      <c r="E3" s="12"/>
      <c r="F3" s="12"/>
    </row>
    <row r="4" spans="1:6" ht="12.75">
      <c r="A4" s="12"/>
      <c r="B4" s="12"/>
      <c r="C4" s="13"/>
      <c r="D4" s="12"/>
      <c r="E4" s="12"/>
      <c r="F4" s="12"/>
    </row>
    <row r="5" spans="1:6" s="2" customFormat="1" ht="12.75">
      <c r="A5" s="14"/>
      <c r="B5" s="14" t="s">
        <v>2</v>
      </c>
      <c r="C5" s="15" t="s">
        <v>3</v>
      </c>
      <c r="D5" s="91" t="s">
        <v>39</v>
      </c>
      <c r="E5" s="92"/>
      <c r="F5" s="20">
        <v>0.069</v>
      </c>
    </row>
    <row r="6" spans="1:6" s="2" customFormat="1" ht="12.75">
      <c r="A6" s="16" t="s">
        <v>18</v>
      </c>
      <c r="B6" s="29">
        <v>0</v>
      </c>
      <c r="C6" s="15"/>
      <c r="D6" s="91" t="s">
        <v>40</v>
      </c>
      <c r="E6" s="92"/>
      <c r="F6" s="21">
        <v>0.004</v>
      </c>
    </row>
    <row r="7" spans="1:6" s="2" customFormat="1" ht="12.75">
      <c r="A7" s="16" t="s">
        <v>56</v>
      </c>
      <c r="B7" s="36">
        <v>1</v>
      </c>
      <c r="C7" s="15"/>
      <c r="D7" s="91" t="s">
        <v>22</v>
      </c>
      <c r="E7" s="92"/>
      <c r="F7" s="21">
        <v>0.028</v>
      </c>
    </row>
    <row r="8" spans="1:6" ht="12.75">
      <c r="A8" s="16" t="s">
        <v>26</v>
      </c>
      <c r="B8" s="30">
        <v>0</v>
      </c>
      <c r="C8" s="13"/>
      <c r="D8" s="91" t="s">
        <v>23</v>
      </c>
      <c r="E8" s="92"/>
      <c r="F8" s="22">
        <v>0.0695</v>
      </c>
    </row>
    <row r="9" spans="1:6" ht="12.75">
      <c r="A9" s="16" t="s">
        <v>42</v>
      </c>
      <c r="B9" s="43">
        <v>0</v>
      </c>
      <c r="C9" s="13"/>
      <c r="D9" s="39"/>
      <c r="E9" s="40"/>
      <c r="F9" s="22"/>
    </row>
    <row r="10" spans="1:6" ht="12.75">
      <c r="A10" s="12"/>
      <c r="B10" s="12"/>
      <c r="C10" s="13"/>
      <c r="D10" s="25"/>
      <c r="E10" s="25"/>
      <c r="F10" s="24"/>
    </row>
    <row r="11" spans="1:9" ht="19.5">
      <c r="A11" s="73" t="s">
        <v>0</v>
      </c>
      <c r="B11" s="34">
        <f>B6*B7*Titulaire!B1</f>
        <v>0</v>
      </c>
      <c r="C11" s="13"/>
      <c r="D11" s="85" t="s">
        <v>32</v>
      </c>
      <c r="E11" s="85"/>
      <c r="F11" s="45">
        <v>0</v>
      </c>
      <c r="G11" s="17"/>
      <c r="H11" s="17"/>
      <c r="I11" s="17"/>
    </row>
    <row r="12" spans="1:6" ht="15.75">
      <c r="A12" s="73" t="s">
        <v>1</v>
      </c>
      <c r="B12" s="34">
        <f>IF(B6=0,0,MAX(Titulaire!F7*B8*Titulaire!B1*'ANT temps plein ou incomplet'!B7,B8*B11))</f>
        <v>0</v>
      </c>
      <c r="C12" s="13"/>
      <c r="D12" s="12"/>
      <c r="E12" s="12"/>
      <c r="F12" s="12"/>
    </row>
    <row r="13" spans="1:6" ht="25.5" customHeight="1">
      <c r="A13" s="74" t="s">
        <v>51</v>
      </c>
      <c r="B13" s="31">
        <v>0</v>
      </c>
      <c r="C13" s="13"/>
      <c r="D13" s="97" t="s">
        <v>37</v>
      </c>
      <c r="E13" s="98"/>
      <c r="F13" s="48">
        <f>B17+B18-C22-C24-C26-C27-C28+B20</f>
        <v>0</v>
      </c>
    </row>
    <row r="14" spans="1:6" ht="15.75">
      <c r="A14" s="73" t="s">
        <v>4</v>
      </c>
      <c r="B14" s="31">
        <v>0</v>
      </c>
      <c r="C14" s="13"/>
      <c r="D14" s="12"/>
      <c r="E14" s="12"/>
      <c r="F14" s="12"/>
    </row>
    <row r="15" spans="1:6" ht="18.75">
      <c r="A15" s="73" t="s">
        <v>5</v>
      </c>
      <c r="B15" s="31"/>
      <c r="C15" s="13"/>
      <c r="D15" s="12"/>
      <c r="E15" s="47" t="s">
        <v>35</v>
      </c>
      <c r="F15" s="51">
        <f>F13*F11</f>
        <v>0</v>
      </c>
    </row>
    <row r="16" spans="1:6" ht="15.75">
      <c r="A16" s="73" t="s">
        <v>11</v>
      </c>
      <c r="B16" s="44">
        <f>B7*IF(B9=0,0,IF(B9=1,2.29,IF(B9=2,10.67+0.03*B1*MEDIAN(454,722,B6),15.24+4.57*(B9-3)+((B9-3)*0.06+0.08)*B1*MEDIAN(B6,454,722))))</f>
        <v>0</v>
      </c>
      <c r="C16" s="13"/>
      <c r="D16" s="12"/>
      <c r="E16" s="12"/>
      <c r="F16" s="12"/>
    </row>
    <row r="17" spans="1:6" ht="27.75" customHeight="1">
      <c r="A17" s="75" t="s">
        <v>10</v>
      </c>
      <c r="B17" s="72">
        <f>SUM(B11:B16)</f>
        <v>0</v>
      </c>
      <c r="C17" s="13"/>
      <c r="D17" s="93" t="s">
        <v>36</v>
      </c>
      <c r="E17" s="94"/>
      <c r="F17" s="49">
        <f>B17-SUM(C22:C28)+B21+B19+B20</f>
        <v>0</v>
      </c>
    </row>
    <row r="18" spans="1:6" ht="15.75">
      <c r="A18" s="76" t="s">
        <v>12</v>
      </c>
      <c r="B18" s="32"/>
      <c r="C18" s="13"/>
      <c r="D18" s="12"/>
      <c r="E18" s="12"/>
      <c r="F18" s="12"/>
    </row>
    <row r="19" spans="1:6" ht="19.5" customHeight="1">
      <c r="A19" s="78" t="s">
        <v>49</v>
      </c>
      <c r="B19" s="34">
        <v>0</v>
      </c>
      <c r="C19" s="13"/>
      <c r="D19" s="79"/>
      <c r="E19" s="79"/>
      <c r="F19" s="49"/>
    </row>
    <row r="20" spans="1:6" ht="19.5" customHeight="1">
      <c r="A20" s="78" t="s">
        <v>50</v>
      </c>
      <c r="B20" s="34">
        <v>0</v>
      </c>
      <c r="C20" s="13"/>
      <c r="D20" s="79"/>
      <c r="E20" s="79"/>
      <c r="F20" s="49"/>
    </row>
    <row r="21" spans="1:6" ht="19.5" customHeight="1">
      <c r="A21" s="78" t="s">
        <v>27</v>
      </c>
      <c r="B21" s="34">
        <v>0</v>
      </c>
      <c r="C21" s="13"/>
      <c r="D21" s="79"/>
      <c r="E21" s="79"/>
      <c r="F21" s="49"/>
    </row>
    <row r="22" spans="1:6" ht="15.75">
      <c r="A22" s="77" t="s">
        <v>28</v>
      </c>
      <c r="B22" s="65"/>
      <c r="C22" s="66">
        <f>F5*MIN(B17+B18,B7*Titulaire!E1)</f>
        <v>0</v>
      </c>
      <c r="D22" s="12"/>
      <c r="E22" s="12"/>
      <c r="F22" s="12"/>
    </row>
    <row r="23" spans="1:6" ht="15.75">
      <c r="A23" s="77" t="s">
        <v>7</v>
      </c>
      <c r="B23" s="65"/>
      <c r="C23" s="66">
        <f>0.024*0.9825*(B17+B18+B20)</f>
        <v>0</v>
      </c>
      <c r="D23" s="12"/>
      <c r="E23" s="12"/>
      <c r="F23" s="12"/>
    </row>
    <row r="24" spans="1:6" ht="15.75">
      <c r="A24" s="77" t="s">
        <v>8</v>
      </c>
      <c r="B24" s="65"/>
      <c r="C24" s="66">
        <f>0.068*0.9825*(B17+B18+B20)</f>
        <v>0</v>
      </c>
      <c r="D24" s="12"/>
      <c r="E24" s="12"/>
      <c r="F24" s="12"/>
    </row>
    <row r="25" spans="1:6" ht="15.75">
      <c r="A25" s="77" t="s">
        <v>9</v>
      </c>
      <c r="B25" s="65"/>
      <c r="C25" s="66">
        <f>0.005*0.9825*(B18+B17+B20)</f>
        <v>0</v>
      </c>
      <c r="D25" s="12"/>
      <c r="E25" s="12"/>
      <c r="F25" s="12"/>
    </row>
    <row r="26" spans="1:6" ht="18">
      <c r="A26" s="77" t="s">
        <v>53</v>
      </c>
      <c r="B26" s="65"/>
      <c r="C26" s="66">
        <f>F6*(B17+B18)</f>
        <v>0</v>
      </c>
      <c r="D26" s="95" t="s">
        <v>38</v>
      </c>
      <c r="E26" s="96"/>
      <c r="F26" s="50">
        <f>F17-F15</f>
        <v>0</v>
      </c>
    </row>
    <row r="27" spans="1:6" ht="15.75">
      <c r="A27" s="77" t="s">
        <v>13</v>
      </c>
      <c r="B27" s="65"/>
      <c r="C27" s="66">
        <f>F7*MIN(B7*Titulaire!E1,(B17+B18-B16))</f>
        <v>0</v>
      </c>
      <c r="D27" s="12"/>
      <c r="E27" s="12"/>
      <c r="F27" s="12"/>
    </row>
    <row r="28" spans="1:6" ht="15.75">
      <c r="A28" s="77" t="s">
        <v>14</v>
      </c>
      <c r="B28" s="65"/>
      <c r="C28" s="66">
        <f>IF(B7*Titulaire!E1-B17-B18+B16&lt;0,F8*(B17+B18-B16-B7*Titulaire!E1),0)</f>
        <v>0</v>
      </c>
      <c r="D28" s="12"/>
      <c r="E28" s="12"/>
      <c r="F28" s="12"/>
    </row>
    <row r="29" spans="1:6" ht="12.75">
      <c r="A29" s="12"/>
      <c r="B29" s="12"/>
      <c r="C29" s="13"/>
      <c r="D29" s="12"/>
      <c r="E29" s="12"/>
      <c r="F29" s="12"/>
    </row>
    <row r="31" spans="1:4" ht="12.75">
      <c r="A31" s="82" t="s">
        <v>15</v>
      </c>
      <c r="B31" s="82"/>
      <c r="C31" s="82"/>
      <c r="D31" s="82"/>
    </row>
    <row r="32" spans="1:4" ht="12.75">
      <c r="A32" s="83" t="s">
        <v>16</v>
      </c>
      <c r="B32" s="83"/>
      <c r="C32" s="83"/>
      <c r="D32" s="83"/>
    </row>
  </sheetData>
  <sheetProtection sheet="1"/>
  <mergeCells count="11">
    <mergeCell ref="A3:D3"/>
    <mergeCell ref="A32:D32"/>
    <mergeCell ref="D5:E5"/>
    <mergeCell ref="D6:E6"/>
    <mergeCell ref="D7:E7"/>
    <mergeCell ref="D8:E8"/>
    <mergeCell ref="D11:E11"/>
    <mergeCell ref="D17:E17"/>
    <mergeCell ref="D26:E26"/>
    <mergeCell ref="D13:E13"/>
    <mergeCell ref="A31:D31"/>
  </mergeCells>
  <dataValidations count="3">
    <dataValidation type="list" allowBlank="1" showInputMessage="1" showErrorMessage="1" sqref="B7">
      <formula1>"50%,60%,70%,80%,6/7,90%,32/35,100%"</formula1>
    </dataValidation>
    <dataValidation type="list" allowBlank="1" showInputMessage="1" showErrorMessage="1" sqref="B8">
      <formula1>"0%,1%,3%"</formula1>
    </dataValidation>
    <dataValidation type="list" allowBlank="1" showInputMessage="1" showErrorMessage="1" sqref="B9">
      <formula1>"0,1,2,3,4,5,6,7,8,9,10,11"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9" sqref="A19"/>
    </sheetView>
  </sheetViews>
  <sheetFormatPr defaultColWidth="11.421875" defaultRowHeight="12.75"/>
  <cols>
    <col min="1" max="1" width="27.8515625" style="0" customWidth="1"/>
    <col min="2" max="2" width="11.28125" style="0" customWidth="1"/>
    <col min="3" max="3" width="10.28125" style="3" customWidth="1"/>
    <col min="4" max="4" width="11.28125" style="0" customWidth="1"/>
    <col min="5" max="5" width="11.7109375" style="0" customWidth="1"/>
    <col min="6" max="6" width="15.8515625" style="0" customWidth="1"/>
    <col min="8" max="8" width="2.8515625" style="0" customWidth="1"/>
  </cols>
  <sheetData>
    <row r="1" spans="1:2" ht="21" customHeight="1">
      <c r="A1" s="8" t="s">
        <v>17</v>
      </c>
      <c r="B1" s="9">
        <f>Titulaire!B1</f>
        <v>4.922783333333333</v>
      </c>
    </row>
    <row r="2" ht="12.75">
      <c r="G2" s="4"/>
    </row>
    <row r="3" spans="1:8" ht="18">
      <c r="A3" s="101" t="s">
        <v>57</v>
      </c>
      <c r="B3" s="102"/>
      <c r="C3" s="102"/>
      <c r="D3" s="102"/>
      <c r="E3" s="103"/>
      <c r="F3" s="12"/>
      <c r="H3" s="100">
        <f>B7*IF(B9=0,0,IF(B9=1,2.29,IF(B9=2,10.67+0.03*B1*MEDIAN(454,722,B6),15.24+4.57*(B9-3)+((B9-3)*0.06+0.08)*B1*MEDIAN(B6,454,722))))</f>
        <v>0</v>
      </c>
    </row>
    <row r="4" spans="1:8" ht="12.75">
      <c r="A4" s="12"/>
      <c r="B4" s="12"/>
      <c r="C4" s="13"/>
      <c r="D4" s="12"/>
      <c r="E4" s="12"/>
      <c r="F4" s="12"/>
      <c r="H4">
        <f>IF(B9=0,0,IF(B9=1,2.29,IF(B9=2,10.67+0.03*B1*454,15.24+4.57*(B9-3)+((B9-3)*0.06+0.08)*B1*454)))</f>
        <v>0</v>
      </c>
    </row>
    <row r="5" spans="1:6" s="2" customFormat="1" ht="12.75">
      <c r="A5" s="14"/>
      <c r="B5" s="14" t="s">
        <v>2</v>
      </c>
      <c r="C5" s="15" t="s">
        <v>3</v>
      </c>
      <c r="D5" s="91" t="s">
        <v>39</v>
      </c>
      <c r="E5" s="92"/>
      <c r="F5" s="20">
        <v>0.069</v>
      </c>
    </row>
    <row r="6" spans="1:6" s="2" customFormat="1" ht="12.75">
      <c r="A6" s="16" t="s">
        <v>18</v>
      </c>
      <c r="B6" s="29">
        <v>0</v>
      </c>
      <c r="C6" s="15"/>
      <c r="D6" s="91" t="s">
        <v>40</v>
      </c>
      <c r="E6" s="92"/>
      <c r="F6" s="21">
        <v>0.004</v>
      </c>
    </row>
    <row r="7" spans="1:6" s="2" customFormat="1" ht="12.75">
      <c r="A7" s="16" t="s">
        <v>29</v>
      </c>
      <c r="B7" s="80">
        <v>0.8571428571428571</v>
      </c>
      <c r="C7" s="15"/>
      <c r="D7" s="91" t="s">
        <v>22</v>
      </c>
      <c r="E7" s="92"/>
      <c r="F7" s="21">
        <v>0.028</v>
      </c>
    </row>
    <row r="8" spans="1:6" ht="12.75">
      <c r="A8" s="16" t="s">
        <v>26</v>
      </c>
      <c r="B8" s="30">
        <v>0</v>
      </c>
      <c r="C8" s="13"/>
      <c r="D8" s="91" t="s">
        <v>23</v>
      </c>
      <c r="E8" s="92"/>
      <c r="F8" s="22">
        <v>0.0695</v>
      </c>
    </row>
    <row r="9" spans="1:6" ht="12.75">
      <c r="A9" s="16" t="s">
        <v>42</v>
      </c>
      <c r="B9" s="43">
        <v>0</v>
      </c>
      <c r="C9" s="13"/>
      <c r="D9" s="39"/>
      <c r="E9" s="40"/>
      <c r="F9" s="22"/>
    </row>
    <row r="10" spans="1:6" ht="12.75">
      <c r="A10" s="12"/>
      <c r="B10" s="12"/>
      <c r="C10" s="13"/>
      <c r="D10" s="25"/>
      <c r="E10" s="25"/>
      <c r="F10" s="24"/>
    </row>
    <row r="11" spans="1:9" ht="19.5">
      <c r="A11" s="73" t="s">
        <v>0</v>
      </c>
      <c r="B11" s="34">
        <f>B6*B7*Titulaire!B1</f>
        <v>0</v>
      </c>
      <c r="C11" s="13"/>
      <c r="D11" s="85" t="s">
        <v>32</v>
      </c>
      <c r="E11" s="85"/>
      <c r="F11" s="45">
        <v>0</v>
      </c>
      <c r="G11" s="17"/>
      <c r="H11" s="17"/>
      <c r="I11" s="17"/>
    </row>
    <row r="12" spans="1:6" ht="15.75">
      <c r="A12" s="73" t="s">
        <v>1</v>
      </c>
      <c r="B12" s="34">
        <f>IF(B6=0,0,MAX(Titulaire!F7*B8*Titulaire!B1*'ANT temps partiel'!B7,B8*B11))</f>
        <v>0</v>
      </c>
      <c r="C12" s="13"/>
      <c r="D12" s="12"/>
      <c r="E12" s="12"/>
      <c r="F12" s="12"/>
    </row>
    <row r="13" spans="1:6" ht="25.5" customHeight="1">
      <c r="A13" s="74" t="s">
        <v>51</v>
      </c>
      <c r="B13" s="31">
        <v>0</v>
      </c>
      <c r="C13" s="13"/>
      <c r="D13" s="97" t="s">
        <v>37</v>
      </c>
      <c r="E13" s="98"/>
      <c r="F13" s="48">
        <f>B17+B18-C22-C24-C26-C27-C28+B20</f>
        <v>0</v>
      </c>
    </row>
    <row r="14" spans="1:6" ht="15.75">
      <c r="A14" s="73" t="s">
        <v>4</v>
      </c>
      <c r="B14" s="31">
        <v>0</v>
      </c>
      <c r="C14" s="13"/>
      <c r="D14" s="12"/>
      <c r="E14" s="12"/>
      <c r="F14" s="12"/>
    </row>
    <row r="15" spans="1:6" ht="18.75">
      <c r="A15" s="73" t="s">
        <v>5</v>
      </c>
      <c r="B15" s="31"/>
      <c r="C15" s="13"/>
      <c r="D15" s="12"/>
      <c r="E15" s="47" t="s">
        <v>35</v>
      </c>
      <c r="F15" s="51">
        <f>F13*F11</f>
        <v>0</v>
      </c>
    </row>
    <row r="16" spans="1:6" ht="15.75">
      <c r="A16" s="73" t="s">
        <v>11</v>
      </c>
      <c r="B16" s="44">
        <f>MAX(H3,H4)</f>
        <v>0</v>
      </c>
      <c r="C16" s="13"/>
      <c r="D16" s="12"/>
      <c r="E16" s="12"/>
      <c r="F16" s="12"/>
    </row>
    <row r="17" spans="1:6" ht="27.75" customHeight="1">
      <c r="A17" s="75" t="s">
        <v>10</v>
      </c>
      <c r="B17" s="72">
        <f>SUM(B11:B16)</f>
        <v>0</v>
      </c>
      <c r="C17" s="13"/>
      <c r="D17" s="93" t="s">
        <v>36</v>
      </c>
      <c r="E17" s="94"/>
      <c r="F17" s="49">
        <f>B17-SUM(C22:C28)+B21+B19+B20</f>
        <v>0</v>
      </c>
    </row>
    <row r="18" spans="1:6" ht="15.75">
      <c r="A18" s="76" t="s">
        <v>12</v>
      </c>
      <c r="B18" s="32"/>
      <c r="C18" s="13"/>
      <c r="D18" s="12"/>
      <c r="E18" s="12"/>
      <c r="F18" s="12"/>
    </row>
    <row r="19" spans="1:6" ht="19.5" customHeight="1">
      <c r="A19" s="78" t="s">
        <v>49</v>
      </c>
      <c r="B19" s="34">
        <v>0</v>
      </c>
      <c r="C19" s="13"/>
      <c r="D19" s="79"/>
      <c r="E19" s="79"/>
      <c r="F19" s="49"/>
    </row>
    <row r="20" spans="1:6" ht="19.5" customHeight="1">
      <c r="A20" s="78" t="s">
        <v>50</v>
      </c>
      <c r="B20" s="34">
        <v>0</v>
      </c>
      <c r="C20" s="13"/>
      <c r="D20" s="79"/>
      <c r="E20" s="79"/>
      <c r="F20" s="49"/>
    </row>
    <row r="21" spans="1:6" ht="19.5" customHeight="1">
      <c r="A21" s="78" t="s">
        <v>27</v>
      </c>
      <c r="B21" s="34">
        <v>0</v>
      </c>
      <c r="C21" s="13"/>
      <c r="D21" s="79"/>
      <c r="E21" s="79"/>
      <c r="F21" s="49"/>
    </row>
    <row r="22" spans="1:6" ht="15.75">
      <c r="A22" s="77" t="s">
        <v>28</v>
      </c>
      <c r="B22" s="65"/>
      <c r="C22" s="66">
        <f>F5*MIN(B17+B18,Titulaire!E1)</f>
        <v>0</v>
      </c>
      <c r="D22" s="12"/>
      <c r="E22" s="12"/>
      <c r="F22" s="12"/>
    </row>
    <row r="23" spans="1:6" ht="15.75">
      <c r="A23" s="77" t="s">
        <v>7</v>
      </c>
      <c r="B23" s="65"/>
      <c r="C23" s="66">
        <f>0.024*0.9825*(B17+B18+B20)</f>
        <v>0</v>
      </c>
      <c r="D23" s="12"/>
      <c r="E23" s="12"/>
      <c r="F23" s="12"/>
    </row>
    <row r="24" spans="1:6" ht="15.75">
      <c r="A24" s="77" t="s">
        <v>8</v>
      </c>
      <c r="B24" s="65"/>
      <c r="C24" s="66">
        <f>0.068*0.9825*(B17+B18+B20)</f>
        <v>0</v>
      </c>
      <c r="D24" s="12"/>
      <c r="E24" s="12"/>
      <c r="F24" s="12"/>
    </row>
    <row r="25" spans="1:6" ht="15.75">
      <c r="A25" s="77" t="s">
        <v>9</v>
      </c>
      <c r="B25" s="65"/>
      <c r="C25" s="66">
        <f>0.005*0.9825*(B18+B17+B20)</f>
        <v>0</v>
      </c>
      <c r="D25" s="12"/>
      <c r="E25" s="12"/>
      <c r="F25" s="12"/>
    </row>
    <row r="26" spans="1:6" ht="18">
      <c r="A26" s="77" t="s">
        <v>53</v>
      </c>
      <c r="B26" s="65"/>
      <c r="C26" s="66">
        <f>F6*(B17+B18)</f>
        <v>0</v>
      </c>
      <c r="D26" s="95" t="s">
        <v>38</v>
      </c>
      <c r="E26" s="96"/>
      <c r="F26" s="50">
        <f>F17-F15</f>
        <v>0</v>
      </c>
    </row>
    <row r="27" spans="1:6" ht="15.75">
      <c r="A27" s="77" t="s">
        <v>13</v>
      </c>
      <c r="B27" s="65"/>
      <c r="C27" s="66">
        <f>F7*MIN(Titulaire!E1,(B17+B18-B16))</f>
        <v>0</v>
      </c>
      <c r="D27" s="12"/>
      <c r="E27" s="12"/>
      <c r="F27" s="12"/>
    </row>
    <row r="28" spans="1:6" ht="15.75">
      <c r="A28" s="77" t="s">
        <v>14</v>
      </c>
      <c r="B28" s="65"/>
      <c r="C28" s="66">
        <f>IF(Titulaire!E1-B17-B18+B16&lt;0,F8*(B17+B18-B16-Titulaire!E1),0)</f>
        <v>0</v>
      </c>
      <c r="D28" s="12"/>
      <c r="E28" s="12"/>
      <c r="F28" s="12"/>
    </row>
    <row r="29" spans="1:6" ht="12.75">
      <c r="A29" s="12"/>
      <c r="B29" s="12"/>
      <c r="C29" s="13"/>
      <c r="D29" s="12"/>
      <c r="E29" s="12"/>
      <c r="F29" s="12"/>
    </row>
    <row r="31" spans="1:4" ht="12.75">
      <c r="A31" s="82" t="s">
        <v>15</v>
      </c>
      <c r="B31" s="82"/>
      <c r="C31" s="82"/>
      <c r="D31" s="82"/>
    </row>
    <row r="32" spans="1:4" ht="12.75">
      <c r="A32" s="83" t="s">
        <v>16</v>
      </c>
      <c r="B32" s="83"/>
      <c r="C32" s="83"/>
      <c r="D32" s="83"/>
    </row>
  </sheetData>
  <sheetProtection/>
  <mergeCells count="11">
    <mergeCell ref="D13:E13"/>
    <mergeCell ref="D17:E17"/>
    <mergeCell ref="D26:E26"/>
    <mergeCell ref="A31:D31"/>
    <mergeCell ref="A32:D32"/>
    <mergeCell ref="A3:E3"/>
    <mergeCell ref="D5:E5"/>
    <mergeCell ref="D6:E6"/>
    <mergeCell ref="D7:E7"/>
    <mergeCell ref="D8:E8"/>
    <mergeCell ref="D11:E11"/>
  </mergeCells>
  <dataValidations count="3">
    <dataValidation type="list" allowBlank="1" showInputMessage="1" showErrorMessage="1" sqref="B9">
      <formula1>"0,1,2,3,4,5,6,7,8,9,10,11"</formula1>
    </dataValidation>
    <dataValidation type="list" allowBlank="1" showInputMessage="1" showErrorMessage="1" sqref="B8">
      <formula1>"0%,1%,3%"</formula1>
    </dataValidation>
    <dataValidation type="list" allowBlank="1" showInputMessage="1" showErrorMessage="1" sqref="B7">
      <formula1>"50%,60%,70%,6/7,32/35"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MASSACRIER</dc:creator>
  <cp:keywords/>
  <dc:description/>
  <cp:lastModifiedBy>FPMD FORMATIONS – Dominique MASSACRIER</cp:lastModifiedBy>
  <cp:lastPrinted>2022-01-06T08:50:54Z</cp:lastPrinted>
  <dcterms:created xsi:type="dcterms:W3CDTF">1996-10-21T11:03:58Z</dcterms:created>
  <dcterms:modified xsi:type="dcterms:W3CDTF">2024-01-18T13:32:13Z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