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fpmd.sharepoint.com/sites/FPMDFORMATIONS/Documents partages/FPMD/Fichiers Calculs/Nouveau simulateur/"/>
    </mc:Choice>
  </mc:AlternateContent>
  <xr:revisionPtr revIDLastSave="527" documentId="8_{3483C6F0-8833-4F57-8523-A222A3F208E4}" xr6:coauthVersionLast="47" xr6:coauthVersionMax="47" xr10:uidLastSave="{0F7BC352-25D2-4430-99A6-6EA234EF1BF7}"/>
  <bookViews>
    <workbookView xWindow="-110" yWindow="-110" windowWidth="19420" windowHeight="11500" xr2:uid="{00000000-000D-0000-FFFF-FFFF00000000}"/>
  </bookViews>
  <sheets>
    <sheet name="Données" sheetId="12" r:id="rId1"/>
    <sheet name="Liste Indemnités" sheetId="15" r:id="rId2"/>
    <sheet name="Fonctionnaire" sheetId="13" r:id="rId3"/>
    <sheet name="Agent Non Titulaire" sheetId="14" r:id="rId4"/>
    <sheet name="Valeurs" sheetId="9" r:id="rId5"/>
  </sheets>
  <definedNames>
    <definedName name="_xlnm._FilterDatabase" localSheetId="3" hidden="1">'Agent Non Titulaire'!$B$11:$G$63</definedName>
    <definedName name="_xlnm._FilterDatabase" localSheetId="2" hidden="1">Fonctionnaire!$B$11:$G$61</definedName>
    <definedName name="CODE1">Tableau1[Code]</definedName>
    <definedName name="CODE2">Tableau3[Code]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9" i="13" l="1"/>
  <c r="B49" i="13" s="1"/>
  <c r="J45" i="13"/>
  <c r="B45" i="13" s="1"/>
  <c r="L52" i="14"/>
  <c r="B52" i="14" s="1"/>
  <c r="J48" i="14"/>
  <c r="B48" i="14" s="1"/>
  <c r="C48" i="12"/>
  <c r="L39" i="14" s="1"/>
  <c r="H15" i="14"/>
  <c r="H16" i="14"/>
  <c r="H14" i="14"/>
  <c r="H18" i="13"/>
  <c r="H17" i="13"/>
  <c r="H19" i="13"/>
  <c r="L17" i="14"/>
  <c r="B17" i="14"/>
  <c r="L20" i="13"/>
  <c r="B20" i="13"/>
  <c r="J47" i="14"/>
  <c r="L40" i="14" s="1"/>
  <c r="B47" i="14"/>
  <c r="B40" i="14"/>
  <c r="B43" i="13"/>
  <c r="B39" i="13"/>
  <c r="J43" i="13"/>
  <c r="L39" i="13" s="1"/>
  <c r="D24" i="9"/>
  <c r="B22" i="14"/>
  <c r="B21" i="14"/>
  <c r="B19" i="14"/>
  <c r="B25" i="13"/>
  <c r="B24" i="13"/>
  <c r="C38" i="12"/>
  <c r="B34" i="12"/>
  <c r="B22" i="13" s="1"/>
  <c r="B35" i="12"/>
  <c r="B23" i="13" s="1"/>
  <c r="B36" i="12"/>
  <c r="B37" i="12"/>
  <c r="B33" i="12"/>
  <c r="B21" i="13" s="1"/>
  <c r="A21" i="13"/>
  <c r="A18" i="13"/>
  <c r="A17" i="13"/>
  <c r="B27" i="12"/>
  <c r="B18" i="13" s="1"/>
  <c r="B28" i="12"/>
  <c r="B16" i="14" s="1"/>
  <c r="B26" i="12"/>
  <c r="B17" i="13" s="1"/>
  <c r="D14" i="12"/>
  <c r="F4" i="9"/>
  <c r="F1" i="9"/>
  <c r="F2" i="9" s="1"/>
  <c r="H62" i="14"/>
  <c r="F62" i="14"/>
  <c r="C56" i="14"/>
  <c r="H24" i="14"/>
  <c r="B24" i="14"/>
  <c r="A24" i="14"/>
  <c r="H23" i="14"/>
  <c r="B23" i="14"/>
  <c r="A23" i="14"/>
  <c r="H22" i="14"/>
  <c r="A22" i="14"/>
  <c r="H21" i="14"/>
  <c r="A21" i="14"/>
  <c r="H20" i="14"/>
  <c r="A20" i="14"/>
  <c r="H19" i="14"/>
  <c r="A19" i="14"/>
  <c r="H18" i="14"/>
  <c r="A18" i="14"/>
  <c r="A16" i="14"/>
  <c r="A15" i="14"/>
  <c r="A14" i="14"/>
  <c r="B13" i="14"/>
  <c r="B12" i="14"/>
  <c r="A12" i="14"/>
  <c r="K9" i="14"/>
  <c r="I9" i="14"/>
  <c r="H9" i="14"/>
  <c r="G9" i="14"/>
  <c r="F9" i="14"/>
  <c r="B9" i="14"/>
  <c r="B59" i="14" s="1"/>
  <c r="A9" i="14"/>
  <c r="G3" i="14"/>
  <c r="B3" i="14"/>
  <c r="B26" i="13"/>
  <c r="F9" i="13"/>
  <c r="B9" i="13"/>
  <c r="B56" i="13" s="1"/>
  <c r="H59" i="13"/>
  <c r="F59" i="13"/>
  <c r="B3" i="13"/>
  <c r="G3" i="13"/>
  <c r="H9" i="13"/>
  <c r="A9" i="13"/>
  <c r="B37" i="13"/>
  <c r="B27" i="13"/>
  <c r="C53" i="13"/>
  <c r="C29" i="12"/>
  <c r="K9" i="13"/>
  <c r="B16" i="13"/>
  <c r="A15" i="13"/>
  <c r="B15" i="13"/>
  <c r="H27" i="13"/>
  <c r="H26" i="13"/>
  <c r="A27" i="13"/>
  <c r="A26" i="13"/>
  <c r="A19" i="13"/>
  <c r="H24" i="13"/>
  <c r="H25" i="13"/>
  <c r="H21" i="13"/>
  <c r="H22" i="13"/>
  <c r="H23" i="13"/>
  <c r="A22" i="13"/>
  <c r="A23" i="13"/>
  <c r="A24" i="13"/>
  <c r="A25" i="13"/>
  <c r="B14" i="13"/>
  <c r="A14" i="13"/>
  <c r="B13" i="13"/>
  <c r="A13" i="13"/>
  <c r="I9" i="13"/>
  <c r="G9" i="13"/>
  <c r="B18" i="12"/>
  <c r="C2" i="9"/>
  <c r="B17" i="12"/>
  <c r="B20" i="14" l="1"/>
  <c r="B15" i="14"/>
  <c r="B14" i="14"/>
  <c r="B18" i="14"/>
  <c r="B19" i="13"/>
  <c r="H11" i="14"/>
  <c r="L9" i="13"/>
  <c r="L9" i="14"/>
  <c r="F3" i="9"/>
  <c r="F5" i="9" s="1"/>
  <c r="H14" i="13"/>
  <c r="L37" i="13" s="1"/>
  <c r="H11" i="13"/>
  <c r="H12" i="14" l="1"/>
  <c r="H16" i="13"/>
  <c r="H13" i="14"/>
  <c r="J13" i="13"/>
  <c r="H15" i="13"/>
  <c r="B58" i="13"/>
  <c r="L42" i="13" s="1"/>
  <c r="L36" i="13"/>
  <c r="L38" i="13"/>
  <c r="J12" i="13"/>
  <c r="J44" i="13"/>
  <c r="B44" i="13" s="1"/>
  <c r="F12" i="9" l="1"/>
  <c r="J28" i="13" s="1"/>
  <c r="J40" i="13"/>
  <c r="L41" i="13" s="1"/>
  <c r="F14" i="9"/>
  <c r="F16" i="9"/>
  <c r="B61" i="14" s="1"/>
  <c r="F17" i="9"/>
  <c r="H58" i="14"/>
  <c r="L34" i="13"/>
  <c r="L33" i="13"/>
  <c r="L32" i="13"/>
  <c r="L31" i="13"/>
  <c r="L35" i="13"/>
  <c r="H55" i="13"/>
  <c r="L45" i="14" l="1"/>
  <c r="B45" i="14" s="1"/>
  <c r="L32" i="14"/>
  <c r="B32" i="14" s="1"/>
  <c r="L38" i="14"/>
  <c r="L33" i="14"/>
  <c r="L37" i="14"/>
  <c r="L31" i="14"/>
  <c r="L30" i="14"/>
  <c r="L36" i="14"/>
  <c r="L35" i="14"/>
  <c r="L46" i="14"/>
  <c r="F15" i="9"/>
  <c r="J29" i="14"/>
  <c r="J26" i="14"/>
  <c r="J28" i="14"/>
  <c r="J27" i="14"/>
  <c r="F19" i="9"/>
  <c r="F18" i="9"/>
  <c r="J29" i="13"/>
  <c r="J30" i="13"/>
  <c r="L55" i="13"/>
  <c r="D55" i="13" s="1"/>
  <c r="J46" i="13" l="1"/>
  <c r="J48" i="13" s="1"/>
  <c r="B48" i="13" s="1"/>
  <c r="J49" i="14"/>
  <c r="B49" i="14" s="1"/>
  <c r="J25" i="14"/>
  <c r="L34" i="14"/>
  <c r="J41" i="14"/>
  <c r="L42" i="14"/>
  <c r="J43" i="14"/>
  <c r="B43" i="14" s="1"/>
  <c r="L44" i="14"/>
  <c r="B44" i="14" s="1"/>
  <c r="J47" i="13" l="1"/>
  <c r="B47" i="13" s="1"/>
  <c r="B46" i="13"/>
  <c r="J50" i="14"/>
  <c r="B50" i="14" s="1"/>
  <c r="J51" i="14"/>
  <c r="B51" i="14" s="1"/>
  <c r="L58" i="14"/>
  <c r="D58" i="14" s="1"/>
  <c r="L50" i="13" l="1"/>
  <c r="L51" i="13" s="1"/>
  <c r="L53" i="14"/>
  <c r="L54" i="14" s="1"/>
  <c r="B60" i="13" l="1"/>
  <c r="J52" i="13" s="1"/>
  <c r="I56" i="13" s="1"/>
  <c r="B63" i="14"/>
  <c r="J55" i="14" s="1"/>
  <c r="J58" i="14" s="1"/>
  <c r="J55" i="13" l="1"/>
  <c r="I59" i="14"/>
</calcChain>
</file>

<file path=xl/sharedStrings.xml><?xml version="1.0" encoding="utf-8"?>
<sst xmlns="http://schemas.openxmlformats.org/spreadsheetml/2006/main" count="229" uniqueCount="172">
  <si>
    <t>Numéro sécurité sociale</t>
  </si>
  <si>
    <t>TOTAUX DU MOIS</t>
  </si>
  <si>
    <t>TOTAL CHARGE PATRONALE</t>
  </si>
  <si>
    <t>NET A PAYER</t>
  </si>
  <si>
    <t>COUT TOTAL EMPLOYEUR</t>
  </si>
  <si>
    <t>BASE  SS  DU MOIS</t>
  </si>
  <si>
    <t>MONTANT IMPO ANNEE</t>
  </si>
  <si>
    <t>MONTANT IMPOSABLE DU MOIS</t>
  </si>
  <si>
    <t>COMPTABLE ASSIGNATAIRE</t>
  </si>
  <si>
    <t>efts à charge</t>
  </si>
  <si>
    <t>SIRET</t>
  </si>
  <si>
    <t>LIBELLE</t>
  </si>
  <si>
    <t>AFFECTATION</t>
  </si>
  <si>
    <t>BULLETIN DE PAYE</t>
  </si>
  <si>
    <t xml:space="preserve">MOIS DE </t>
  </si>
  <si>
    <t>DDFIP</t>
  </si>
  <si>
    <r>
      <rPr>
        <sz val="6"/>
        <color rgb="FFF7FCFE"/>
        <rFont val="Calibri"/>
        <family val="2"/>
        <scheme val="minor"/>
      </rPr>
      <t>IDENTIFICATION</t>
    </r>
  </si>
  <si>
    <r>
      <rPr>
        <sz val="6"/>
        <color rgb="FFF7FCFE"/>
        <rFont val="Calibri"/>
        <family val="2"/>
        <scheme val="minor"/>
      </rPr>
      <t>GRADE</t>
    </r>
  </si>
  <si>
    <r>
      <rPr>
        <sz val="5"/>
        <color rgb="FFF7FCFE"/>
        <rFont val="Calibri"/>
        <family val="2"/>
        <scheme val="minor"/>
      </rPr>
      <t>INDICE  OU</t>
    </r>
  </si>
  <si>
    <r>
      <rPr>
        <sz val="5"/>
        <color rgb="FFF7FCFE"/>
        <rFont val="Calibri"/>
        <family val="2"/>
        <scheme val="minor"/>
      </rPr>
      <t>TAUX  HORAIRE</t>
    </r>
  </si>
  <si>
    <r>
      <rPr>
        <sz val="6"/>
        <color rgb="FFF7FCFE"/>
        <rFont val="Calibri"/>
        <family val="2"/>
        <scheme val="minor"/>
      </rPr>
      <t>M I N.</t>
    </r>
  </si>
  <si>
    <r>
      <rPr>
        <sz val="5"/>
        <color rgb="FFF7FCFE"/>
        <rFont val="Calibri"/>
        <family val="2"/>
        <scheme val="minor"/>
      </rPr>
      <t>N°DOS</t>
    </r>
  </si>
  <si>
    <r>
      <rPr>
        <sz val="5"/>
        <color rgb="FFF7FCFE"/>
        <rFont val="Calibri"/>
        <family val="2"/>
        <scheme val="minor"/>
      </rPr>
      <t>ÉCH.</t>
    </r>
  </si>
  <si>
    <r>
      <rPr>
        <sz val="5"/>
        <color rgb="FFF7FCFE"/>
        <rFont val="Calibri"/>
        <family val="2"/>
        <scheme val="minor"/>
      </rPr>
      <t>NB.  D' HEURES</t>
    </r>
  </si>
  <si>
    <r>
      <rPr>
        <sz val="5"/>
        <color rgb="FFF7FCFE"/>
        <rFont val="Calibri"/>
        <family val="2"/>
        <scheme val="minor"/>
      </rPr>
      <t>OU  NBI</t>
    </r>
  </si>
  <si>
    <r>
      <rPr>
        <sz val="6"/>
        <color rgb="FFF7FCFE"/>
        <rFont val="Calibri"/>
        <family val="2"/>
        <scheme val="minor"/>
      </rPr>
      <t>TEMPS  PARTIEL</t>
    </r>
  </si>
  <si>
    <r>
      <rPr>
        <sz val="8"/>
        <color rgb="FF4B5C73"/>
        <rFont val="Calibri"/>
        <family val="2"/>
        <scheme val="minor"/>
      </rPr>
      <t>€</t>
    </r>
  </si>
  <si>
    <r>
      <rPr>
        <sz val="6"/>
        <color rgb="FFF7FCFE"/>
        <rFont val="Calibri"/>
        <family val="2"/>
        <scheme val="minor"/>
      </rPr>
      <t>BASE  SS  DE  L'  ANNÉE</t>
    </r>
  </si>
  <si>
    <r>
      <rPr>
        <b/>
        <sz val="8"/>
        <rFont val="Calibri"/>
        <family val="2"/>
        <scheme val="minor"/>
      </rPr>
      <t xml:space="preserve">IMPOT SUR LE REVENU PRELEVE A LA SOURCE                                                                                                                  </t>
    </r>
    <r>
      <rPr>
        <sz val="8"/>
        <color rgb="FF4B5C73"/>
        <rFont val="Calibri"/>
        <family val="2"/>
        <scheme val="minor"/>
      </rPr>
      <t>€</t>
    </r>
  </si>
  <si>
    <r>
      <rPr>
        <b/>
        <sz val="8"/>
        <rFont val="Calibri"/>
        <family val="2"/>
        <scheme val="minor"/>
      </rPr>
      <t xml:space="preserve">TRAITEMENT BRUT                                                                                                                                                                             </t>
    </r>
    <r>
      <rPr>
        <sz val="8"/>
        <color rgb="FF4B5C73"/>
        <rFont val="Calibri"/>
        <family val="2"/>
        <scheme val="minor"/>
      </rPr>
      <t>€</t>
    </r>
  </si>
  <si>
    <r>
      <rPr>
        <b/>
        <sz val="8"/>
        <rFont val="Calibri"/>
        <family val="2"/>
        <scheme val="minor"/>
      </rPr>
      <t xml:space="preserve">COT SAL VIEILLESSE DEPLAF                                                                                                                                                         </t>
    </r>
    <r>
      <rPr>
        <sz val="8"/>
        <color rgb="FF4B5C73"/>
        <rFont val="Calibri"/>
        <family val="2"/>
        <scheme val="minor"/>
      </rPr>
      <t>€</t>
    </r>
  </si>
  <si>
    <r>
      <rPr>
        <b/>
        <sz val="8"/>
        <rFont val="Calibri"/>
        <family val="2"/>
        <scheme val="minor"/>
      </rPr>
      <t xml:space="preserve">C.R.D.S.                                                                                                                                                                                                     </t>
    </r>
    <r>
      <rPr>
        <sz val="8"/>
        <color rgb="FF4B5C73"/>
        <rFont val="Calibri"/>
        <family val="2"/>
        <scheme val="minor"/>
      </rPr>
      <t>€</t>
    </r>
  </si>
  <si>
    <r>
      <rPr>
        <b/>
        <sz val="8"/>
        <rFont val="Calibri"/>
        <family val="2"/>
        <scheme val="minor"/>
      </rPr>
      <t xml:space="preserve">C.S.G. DEDUCTIBLE                                                                                                                                                                             </t>
    </r>
    <r>
      <rPr>
        <sz val="8"/>
        <color rgb="FF4B5C73"/>
        <rFont val="Calibri"/>
        <family val="2"/>
        <scheme val="minor"/>
      </rPr>
      <t>€</t>
    </r>
  </si>
  <si>
    <r>
      <rPr>
        <b/>
        <sz val="8"/>
        <rFont val="Calibri"/>
        <family val="2"/>
        <scheme val="minor"/>
      </rPr>
      <t xml:space="preserve">C.S.G. NON DEDUCTIBLE                                                                                                                                                                 </t>
    </r>
    <r>
      <rPr>
        <sz val="8"/>
        <color rgb="FF4B5C73"/>
        <rFont val="Calibri"/>
        <family val="2"/>
        <scheme val="minor"/>
      </rPr>
      <t>€</t>
    </r>
  </si>
  <si>
    <r>
      <rPr>
        <b/>
        <sz val="8"/>
        <rFont val="Calibri"/>
        <family val="2"/>
        <scheme val="minor"/>
      </rPr>
      <t xml:space="preserve">COT SAL VIEILLESSE PLAFON                                                                                                                                                        </t>
    </r>
    <r>
      <rPr>
        <sz val="8"/>
        <color rgb="FF4B5C73"/>
        <rFont val="Calibri"/>
        <family val="2"/>
        <scheme val="minor"/>
      </rPr>
      <t>€</t>
    </r>
  </si>
  <si>
    <r>
      <rPr>
        <b/>
        <sz val="8"/>
        <rFont val="Calibri"/>
        <family val="2"/>
        <scheme val="minor"/>
      </rPr>
      <t xml:space="preserve">COTIS PATRON. ALLOC FAMIL                                                                                                                                                    </t>
    </r>
    <r>
      <rPr>
        <sz val="8"/>
        <color rgb="FF4B5C73"/>
        <rFont val="Calibri"/>
        <family val="2"/>
        <scheme val="minor"/>
      </rPr>
      <t>€</t>
    </r>
  </si>
  <si>
    <r>
      <rPr>
        <b/>
        <sz val="8"/>
        <rFont val="Calibri"/>
        <family val="2"/>
        <scheme val="minor"/>
      </rPr>
      <t xml:space="preserve">COT PAT VIEILLESSE PLAF                                                                                                                                                               </t>
    </r>
    <r>
      <rPr>
        <sz val="8"/>
        <color rgb="FF4B5C73"/>
        <rFont val="Calibri"/>
        <family val="2"/>
        <scheme val="minor"/>
      </rPr>
      <t>€</t>
    </r>
  </si>
  <si>
    <r>
      <rPr>
        <b/>
        <sz val="8"/>
        <rFont val="Calibri"/>
        <family val="2"/>
        <scheme val="minor"/>
      </rPr>
      <t xml:space="preserve">COT PAT FNAL DEPLAFONNEE                                                                                                                                                     </t>
    </r>
    <r>
      <rPr>
        <sz val="8"/>
        <color rgb="FF4B5C73"/>
        <rFont val="Calibri"/>
        <family val="2"/>
        <scheme val="minor"/>
      </rPr>
      <t>€</t>
    </r>
  </si>
  <si>
    <r>
      <rPr>
        <b/>
        <sz val="8"/>
        <rFont val="Calibri"/>
        <family val="2"/>
        <scheme val="minor"/>
      </rPr>
      <t xml:space="preserve">COT PAT VIEILLESSE DEPLAF                                                                                                                                                         </t>
    </r>
    <r>
      <rPr>
        <sz val="8"/>
        <color rgb="FF4B5C73"/>
        <rFont val="Calibri"/>
        <family val="2"/>
        <scheme val="minor"/>
      </rPr>
      <t>€</t>
    </r>
  </si>
  <si>
    <r>
      <rPr>
        <b/>
        <sz val="8"/>
        <rFont val="Calibri"/>
        <family val="2"/>
        <scheme val="minor"/>
      </rPr>
      <t xml:space="preserve">CONT SOLIDARITE AUTONOMIE                                                                                                                                                 </t>
    </r>
    <r>
      <rPr>
        <sz val="8"/>
        <color rgb="FF4B5C73"/>
        <rFont val="Calibri"/>
        <family val="2"/>
        <scheme val="minor"/>
      </rPr>
      <t>€</t>
    </r>
  </si>
  <si>
    <r>
      <rPr>
        <b/>
        <sz val="8"/>
        <rFont val="Calibri"/>
        <family val="2"/>
        <scheme val="minor"/>
      </rPr>
      <t xml:space="preserve">COT PAT MALADIE DEPLAFON                                                                                                                                                   </t>
    </r>
    <r>
      <rPr>
        <sz val="8"/>
        <color rgb="FF4B5C73"/>
        <rFont val="Calibri"/>
        <family val="2"/>
        <scheme val="minor"/>
      </rPr>
      <t>€</t>
    </r>
  </si>
  <si>
    <r>
      <rPr>
        <b/>
        <sz val="8"/>
        <rFont val="Calibri"/>
        <family val="2"/>
        <scheme val="minor"/>
      </rPr>
      <t xml:space="preserve">NET A PAYER AVANT IMPOT SUR LE REVENU                                                                                                                     </t>
    </r>
    <r>
      <rPr>
        <vertAlign val="superscript"/>
        <sz val="9"/>
        <color rgb="FF4B5C73"/>
        <rFont val="Calibri"/>
        <family val="2"/>
        <scheme val="minor"/>
      </rPr>
      <t>€</t>
    </r>
  </si>
  <si>
    <r>
      <rPr>
        <b/>
        <sz val="8"/>
        <rFont val="Calibri"/>
        <family val="2"/>
        <scheme val="minor"/>
      </rPr>
      <t xml:space="preserve">COT PAT VST MOBILITE                                                                                                                                                                    </t>
    </r>
    <r>
      <rPr>
        <sz val="8"/>
        <color rgb="FF4B5C73"/>
        <rFont val="Calibri"/>
        <family val="2"/>
        <scheme val="minor"/>
      </rPr>
      <t>€</t>
    </r>
  </si>
  <si>
    <r>
      <rPr>
        <b/>
        <sz val="8"/>
        <rFont val="Calibri"/>
        <family val="2"/>
        <scheme val="minor"/>
      </rPr>
      <t xml:space="preserve">COT PAT IRCANTEC TR.A                                                                                                                                                                 </t>
    </r>
    <r>
      <rPr>
        <sz val="8"/>
        <color rgb="FF4B5C73"/>
        <rFont val="Calibri"/>
        <family val="2"/>
        <scheme val="minor"/>
      </rPr>
      <t>€</t>
    </r>
  </si>
  <si>
    <r>
      <rPr>
        <b/>
        <sz val="8"/>
        <rFont val="Calibri"/>
        <family val="2"/>
        <scheme val="minor"/>
      </rPr>
      <t xml:space="preserve">COT SAL IRCANTEC TR.A                                                                                                                                                                  </t>
    </r>
    <r>
      <rPr>
        <sz val="8"/>
        <color rgb="FF4B5C73"/>
        <rFont val="Calibri"/>
        <family val="2"/>
        <scheme val="minor"/>
      </rPr>
      <t>€</t>
    </r>
  </si>
  <si>
    <r>
      <rPr>
        <b/>
        <sz val="8"/>
        <rFont val="Calibri"/>
        <family val="2"/>
        <scheme val="minor"/>
      </rPr>
      <t xml:space="preserve">COT PAT MAL MAJORATION                                                                                                                                                        </t>
    </r>
    <r>
      <rPr>
        <sz val="8"/>
        <color rgb="FF4B5C73"/>
        <rFont val="Calibri"/>
        <family val="2"/>
        <scheme val="minor"/>
      </rPr>
      <t>€</t>
    </r>
  </si>
  <si>
    <t xml:space="preserve">DE </t>
  </si>
  <si>
    <t>Si SFT nombre enfants</t>
  </si>
  <si>
    <t xml:space="preserve">INDICE </t>
  </si>
  <si>
    <t>Indemnité de Résidence</t>
  </si>
  <si>
    <t>NBI</t>
  </si>
  <si>
    <t>Calcul SFT</t>
  </si>
  <si>
    <t>Valeur Point</t>
  </si>
  <si>
    <t>Plafond SECU</t>
  </si>
  <si>
    <t xml:space="preserve">Quotité  </t>
  </si>
  <si>
    <t>Pension Civile</t>
  </si>
  <si>
    <t>Salarial</t>
  </si>
  <si>
    <t>Patronal</t>
  </si>
  <si>
    <t>TAUX</t>
  </si>
  <si>
    <t>Vieillesse plaf</t>
  </si>
  <si>
    <t>Vieillesse déplaf</t>
  </si>
  <si>
    <t>Ircantec Tr A</t>
  </si>
  <si>
    <t>Ircantec Tr B</t>
  </si>
  <si>
    <t>Indice Plancher SFT</t>
  </si>
  <si>
    <t>Indice Plafond SFT</t>
  </si>
  <si>
    <t>Valeur Point Annuel</t>
  </si>
  <si>
    <t>Libellé</t>
  </si>
  <si>
    <t>Montant</t>
  </si>
  <si>
    <t>RETENUE PC</t>
  </si>
  <si>
    <t>CONTRIB PC</t>
  </si>
  <si>
    <t>CONTRIBUTION ATI</t>
  </si>
  <si>
    <t>FNAL</t>
  </si>
  <si>
    <t>Allocations Familiales</t>
  </si>
  <si>
    <t>Solidarite Autonomie</t>
  </si>
  <si>
    <t>Maladie Déplafonnée</t>
  </si>
  <si>
    <t>Allocation Temp Invalidité</t>
  </si>
  <si>
    <r>
      <rPr>
        <b/>
        <sz val="8"/>
        <rFont val="Calibri"/>
        <family val="2"/>
        <scheme val="minor"/>
      </rPr>
      <t xml:space="preserve">COT SAL RAFP                                                                                                                                                       </t>
    </r>
    <r>
      <rPr>
        <sz val="8"/>
        <color rgb="FF4B5C73"/>
        <rFont val="Calibri"/>
        <family val="2"/>
        <scheme val="minor"/>
      </rPr>
      <t>€</t>
    </r>
  </si>
  <si>
    <r>
      <rPr>
        <b/>
        <sz val="8"/>
        <rFont val="Calibri"/>
        <family val="2"/>
        <scheme val="minor"/>
      </rPr>
      <t xml:space="preserve">COT PAT RAFP                                                                                                                                                                 </t>
    </r>
    <r>
      <rPr>
        <sz val="8"/>
        <color rgb="FF4B5C73"/>
        <rFont val="Calibri"/>
        <family val="2"/>
        <scheme val="minor"/>
      </rPr>
      <t>€</t>
    </r>
  </si>
  <si>
    <t>COT PAT AF MAJORATION</t>
  </si>
  <si>
    <t>Allocations Familiales MAJO</t>
  </si>
  <si>
    <t>MONTANT NET SOCIAL</t>
  </si>
  <si>
    <t>Maladie Déplafonnée contra</t>
  </si>
  <si>
    <t>Maladie Déplafonnée majo</t>
  </si>
  <si>
    <t>CHOMAGE</t>
  </si>
  <si>
    <t>Taux impot</t>
  </si>
  <si>
    <t>CSG non déductible</t>
  </si>
  <si>
    <t>CSG déductible</t>
  </si>
  <si>
    <t>CRDS</t>
  </si>
  <si>
    <t>Rémunération de base</t>
  </si>
  <si>
    <t>ou Forfait</t>
  </si>
  <si>
    <t>Total</t>
  </si>
  <si>
    <t>Protection Sociale Complémentaire</t>
  </si>
  <si>
    <t>Taux Part Solidaire</t>
  </si>
  <si>
    <t>0976-0980</t>
  </si>
  <si>
    <t>0977</t>
  </si>
  <si>
    <t>0978</t>
  </si>
  <si>
    <t>0979</t>
  </si>
  <si>
    <t>Taux Part Action Sociale</t>
  </si>
  <si>
    <t>Taux Part Aide retraités</t>
  </si>
  <si>
    <t>Participation Employeur aux Options</t>
  </si>
  <si>
    <t>Participation Employeur à la Prévoyance</t>
  </si>
  <si>
    <t>Total soumis à CSG/CRDS</t>
  </si>
  <si>
    <t>Si Fonctionnaire indiquer catégorie</t>
  </si>
  <si>
    <t>TPP</t>
  </si>
  <si>
    <t>Quotité</t>
  </si>
  <si>
    <r>
      <rPr>
        <b/>
        <sz val="8"/>
        <rFont val="Calibri"/>
        <family val="2"/>
        <scheme val="minor"/>
      </rPr>
      <t xml:space="preserve">TAUX PERSONNALISE                                                                                                                                               </t>
    </r>
    <r>
      <rPr>
        <sz val="8"/>
        <color rgb="FF4B5C73"/>
        <rFont val="Calibri"/>
        <family val="2"/>
        <scheme val="minor"/>
      </rPr>
      <t>€</t>
    </r>
  </si>
  <si>
    <t>Mois de PAYE</t>
  </si>
  <si>
    <t>NOM</t>
  </si>
  <si>
    <t>PRENOM</t>
  </si>
  <si>
    <t>N° SECU</t>
  </si>
  <si>
    <t>CODE MINISTERE</t>
  </si>
  <si>
    <t>ECHELON</t>
  </si>
  <si>
    <t>DDFIP DE</t>
  </si>
  <si>
    <t>Données facultatives</t>
  </si>
  <si>
    <t>Prélèvement à la source</t>
  </si>
  <si>
    <t>GRADE</t>
  </si>
  <si>
    <t>taux versement mobilité (cotisation patronale)</t>
  </si>
  <si>
    <t>Statut</t>
  </si>
  <si>
    <t>FORFAIT SOCIAL</t>
  </si>
  <si>
    <t>Base CSG Tit</t>
  </si>
  <si>
    <t>Base CSG Non Tit</t>
  </si>
  <si>
    <t>Base SS Plaf</t>
  </si>
  <si>
    <t>Base SS Déplaf</t>
  </si>
  <si>
    <t>Base IRC Tr A</t>
  </si>
  <si>
    <t>Base IRC Tr B</t>
  </si>
  <si>
    <t>Base IRC</t>
  </si>
  <si>
    <t>Versement Mobilité (saisie données)</t>
  </si>
  <si>
    <t>Accident du Travail</t>
  </si>
  <si>
    <t>CODE                                                                                              ÉLÉMENTS                                                                                                          À  PAYER                          À  DÉDUIRE              POUR  INFORMAT</t>
  </si>
  <si>
    <t>Forfait Social</t>
  </si>
  <si>
    <r>
      <t>Pour génerer le bulletin de paie, cliquez sur</t>
    </r>
    <r>
      <rPr>
        <sz val="12"/>
        <color rgb="FFFF0000"/>
        <rFont val="Times New Roman"/>
        <family val="1"/>
      </rPr>
      <t xml:space="preserve"> l'onglet </t>
    </r>
    <r>
      <rPr>
        <sz val="12"/>
        <color rgb="FF000000"/>
        <rFont val="Times New Roman"/>
        <family val="1"/>
      </rPr>
      <t>correspondant en bas de la feuille,</t>
    </r>
  </si>
  <si>
    <t>cliquer sur le filtre en G11 et répondez OK</t>
  </si>
  <si>
    <t>Code Indemnité</t>
  </si>
  <si>
    <t>Cotisation d'Equillibre (Valeur Socle)</t>
  </si>
  <si>
    <t>PUIS….</t>
  </si>
  <si>
    <t>CODE                                                                                              ÉLÉMENTS                                                                                                          À  PAYER                          À  DÉDUIRE              POUR  INFO</t>
  </si>
  <si>
    <t>SIMULATION à titre indicative, n'engage pas la responsabilité de FPMD FORMATIONS</t>
  </si>
  <si>
    <t>Indemnités non Imposables et non soumises à cotisations</t>
  </si>
  <si>
    <t>Indemnités Imposables et soumises à cotisations</t>
  </si>
  <si>
    <t>Code</t>
  </si>
  <si>
    <t>0039</t>
  </si>
  <si>
    <t>0042</t>
  </si>
  <si>
    <t>0041</t>
  </si>
  <si>
    <t>0362</t>
  </si>
  <si>
    <t>COMPLEMENT REMUNERATION</t>
  </si>
  <si>
    <t>1793</t>
  </si>
  <si>
    <t>IFSE</t>
  </si>
  <si>
    <t>1420</t>
  </si>
  <si>
    <t>CET CATEGORIE A</t>
  </si>
  <si>
    <t>1794</t>
  </si>
  <si>
    <t>CIA</t>
  </si>
  <si>
    <t>et ensuite cliquer sur</t>
  </si>
  <si>
    <t>FORFAIT MOBILITE DURABLE</t>
  </si>
  <si>
    <t>INDEMNITES NON IMPOSABLES ET NON SOUMISES A COTISATIONS</t>
  </si>
  <si>
    <t>INDEMNITES IMPOSABLES ET SOUMISES A COTISATIONS</t>
  </si>
  <si>
    <t>INDEMNITE TELETRAVAIL</t>
  </si>
  <si>
    <t>Pour ajouter une indemnité, placez vous juste en dessous de la dernière ligne remplie et si besoin, pour mettre dans l'ordre, il suffit de cliquer sur TRIER                    qui se situe dans la case code</t>
  </si>
  <si>
    <t>REMBOURSEMENT DU TRAJET DOM TRAVAIL</t>
  </si>
  <si>
    <t>0033</t>
  </si>
  <si>
    <t>AJOUTER UNE INDEMNITE</t>
  </si>
  <si>
    <t>RETOURNER A LA SAISIE DE DONNEES</t>
  </si>
  <si>
    <t>2206</t>
  </si>
  <si>
    <t>INDEMNITE COMPENSATRICE CSG</t>
  </si>
  <si>
    <t>2209</t>
  </si>
  <si>
    <t xml:space="preserve">Ticket Restaurants </t>
  </si>
  <si>
    <t>Taux employeur</t>
  </si>
  <si>
    <t>Contribution salariale du mois</t>
  </si>
  <si>
    <t>taux assurance chômage (cotisation patronale)                                      VOIR LISTE DEROULANTE si concerné</t>
  </si>
  <si>
    <t>A REMPLIR EN FONCTION DES CAS…..</t>
  </si>
  <si>
    <t>Avantages en Nature</t>
  </si>
  <si>
    <t>Pour toute nouvelle simulation assurez vous d'avoir bien effacé les données précedentes (notamment le montant des indemnités…)</t>
  </si>
  <si>
    <t>NON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</si>
</sst>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0000"/>
    <numFmt numFmtId="166" formatCode="[$€-2]\ #,##0.00;[Red]\-[$€-2]\ #,##0.00"/>
    <numFmt numFmtId="167" formatCode="0.0000"/>
    <numFmt numFmtId="168" formatCode="0.0%"/>
  </numFmts>
  <fonts count="49" x14ac:knownFonts="1">
    <font>
      <sz val="10"/>
      <color rgb="FF000000"/>
      <name val="Times New Roman"/>
      <charset val="204"/>
    </font>
    <font>
      <sz val="10"/>
      <color rgb="FF000000"/>
      <name val="Times New Roman"/>
      <charset val="204"/>
    </font>
    <font>
      <b/>
      <sz val="8"/>
      <color rgb="FF000000"/>
      <name val="Calibri"/>
      <family val="2"/>
      <scheme val="minor"/>
    </font>
    <font>
      <sz val="8"/>
      <color rgb="FF000000"/>
      <name val="Calibri"/>
      <family val="2"/>
      <scheme val="minor"/>
    </font>
    <font>
      <b/>
      <sz val="9"/>
      <color rgb="FF000000"/>
      <name val="Calibri"/>
      <family val="2"/>
      <scheme val="minor"/>
    </font>
    <font>
      <sz val="9"/>
      <color rgb="FF000000"/>
      <name val="Calibri"/>
      <family val="2"/>
      <scheme val="minor"/>
    </font>
    <font>
      <sz val="10"/>
      <color rgb="FF000000"/>
      <name val="Calibri"/>
      <family val="2"/>
      <scheme val="minor"/>
    </font>
    <font>
      <sz val="8"/>
      <color theme="0"/>
      <name val="Calibri"/>
      <family val="2"/>
      <scheme val="minor"/>
    </font>
    <font>
      <b/>
      <sz val="9"/>
      <color theme="4"/>
      <name val="Calibri"/>
      <family val="2"/>
      <scheme val="minor"/>
    </font>
    <font>
      <sz val="8"/>
      <color theme="1"/>
      <name val="Calibri"/>
      <family val="2"/>
      <scheme val="minor"/>
    </font>
    <font>
      <sz val="6"/>
      <color theme="0"/>
      <name val="Calibri"/>
      <family val="2"/>
      <scheme val="minor"/>
    </font>
    <font>
      <sz val="6"/>
      <name val="Calibri"/>
      <family val="2"/>
      <scheme val="minor"/>
    </font>
    <font>
      <sz val="6"/>
      <color rgb="FFF7FCFE"/>
      <name val="Calibri"/>
      <family val="2"/>
      <scheme val="minor"/>
    </font>
    <font>
      <sz val="5"/>
      <name val="Calibri"/>
      <family val="2"/>
      <scheme val="minor"/>
    </font>
    <font>
      <sz val="5"/>
      <color rgb="FFF7FCFE"/>
      <name val="Calibri"/>
      <family val="2"/>
      <scheme val="minor"/>
    </font>
    <font>
      <b/>
      <sz val="10"/>
      <color rgb="FF000000"/>
      <name val="Calibri"/>
      <family val="2"/>
      <scheme val="minor"/>
    </font>
    <font>
      <b/>
      <sz val="10"/>
      <name val="Calibri"/>
      <family val="2"/>
      <scheme val="minor"/>
    </font>
    <font>
      <b/>
      <sz val="8"/>
      <name val="Calibri"/>
      <family val="2"/>
      <scheme val="minor"/>
    </font>
    <font>
      <sz val="8"/>
      <color rgb="FF4B5C73"/>
      <name val="Calibri"/>
      <family val="2"/>
      <scheme val="minor"/>
    </font>
    <font>
      <sz val="8"/>
      <name val="Calibri"/>
      <family val="2"/>
      <scheme val="minor"/>
    </font>
    <font>
      <b/>
      <sz val="10"/>
      <color rgb="FF0070C0"/>
      <name val="Calibri"/>
      <family val="2"/>
      <scheme val="minor"/>
    </font>
    <font>
      <sz val="11"/>
      <color rgb="FF000000"/>
      <name val="Calibri"/>
      <family val="2"/>
      <scheme val="minor"/>
    </font>
    <font>
      <vertAlign val="superscript"/>
      <sz val="9"/>
      <color rgb="FF4B5C73"/>
      <name val="Calibri"/>
      <family val="2"/>
      <scheme val="minor"/>
    </font>
    <font>
      <b/>
      <sz val="16"/>
      <color theme="0"/>
      <name val="Calibri"/>
      <family val="2"/>
      <scheme val="minor"/>
    </font>
    <font>
      <b/>
      <sz val="10"/>
      <color rgb="FFFF0000"/>
      <name val="Times New Roman"/>
      <family val="1"/>
    </font>
    <font>
      <sz val="10"/>
      <color rgb="FF000000"/>
      <name val="Times New Roman"/>
      <family val="1"/>
    </font>
    <font>
      <b/>
      <sz val="8"/>
      <color theme="1"/>
      <name val="Calibri"/>
      <family val="2"/>
      <scheme val="minor"/>
    </font>
    <font>
      <b/>
      <sz val="16"/>
      <color theme="6" tint="0.79998168889431442"/>
      <name val="Times New Roman"/>
      <family val="1"/>
    </font>
    <font>
      <b/>
      <sz val="10"/>
      <color rgb="FF000000"/>
      <name val="Times New Roman"/>
      <family val="1"/>
    </font>
    <font>
      <b/>
      <sz val="12"/>
      <color rgb="FF0070C0"/>
      <name val="Calibri"/>
      <family val="2"/>
      <scheme val="minor"/>
    </font>
    <font>
      <b/>
      <sz val="10"/>
      <color theme="1"/>
      <name val="Calibri"/>
      <family val="2"/>
      <scheme val="minor"/>
    </font>
    <font>
      <sz val="10"/>
      <color theme="0"/>
      <name val="Calibri"/>
      <family val="2"/>
      <scheme val="minor"/>
    </font>
    <font>
      <sz val="10"/>
      <color rgb="FFF7FCFE"/>
      <name val="Calibri"/>
      <family val="2"/>
      <scheme val="minor"/>
    </font>
    <font>
      <sz val="11"/>
      <color rgb="FF000000"/>
      <name val="Times New Roman"/>
      <family val="1"/>
    </font>
    <font>
      <i/>
      <sz val="11"/>
      <color rgb="FF000000"/>
      <name val="Times New Roman"/>
      <family val="1"/>
    </font>
    <font>
      <u/>
      <sz val="10"/>
      <color theme="10"/>
      <name val="Times New Roman"/>
      <family val="1"/>
    </font>
    <font>
      <sz val="12"/>
      <color rgb="FF000000"/>
      <name val="Calibri"/>
      <family val="2"/>
      <scheme val="minor"/>
    </font>
    <font>
      <b/>
      <sz val="11"/>
      <color rgb="FFFF0000"/>
      <name val="Times New Roman"/>
      <family val="1"/>
    </font>
    <font>
      <sz val="12"/>
      <color rgb="FF000000"/>
      <name val="Times New Roman"/>
      <family val="1"/>
    </font>
    <font>
      <sz val="12"/>
      <color rgb="FFFF0000"/>
      <name val="Times New Roman"/>
      <family val="1"/>
    </font>
    <font>
      <b/>
      <sz val="12"/>
      <color rgb="FFFF0000"/>
      <name val="Times New Roman"/>
      <family val="1"/>
    </font>
    <font>
      <sz val="10"/>
      <color rgb="FF000000"/>
      <name val="Times New Roman"/>
      <family val="1"/>
      <charset val="204"/>
    </font>
    <font>
      <sz val="8"/>
      <name val="Times New Roman"/>
      <family val="1"/>
    </font>
    <font>
      <b/>
      <sz val="14"/>
      <color theme="0"/>
      <name val="Times New Roman"/>
      <family val="1"/>
    </font>
    <font>
      <sz val="23"/>
      <color theme="10"/>
      <name val="Times New Roman"/>
      <family val="1"/>
    </font>
    <font>
      <sz val="18"/>
      <color theme="10"/>
      <name val="Times New Roman"/>
      <family val="1"/>
    </font>
    <font>
      <i/>
      <sz val="11"/>
      <color rgb="FFFF0000"/>
      <name val="Times New Roman"/>
      <family val="1"/>
    </font>
    <font>
      <b/>
      <sz val="12"/>
      <color rgb="FF000000"/>
      <name val="Times New Roman"/>
      <family val="1"/>
    </font>
    <font>
      <b/>
      <sz val="16"/>
      <color rgb="FFFF0000"/>
      <name val="Times New Roman"/>
      <family val="1"/>
    </font>
  </fonts>
  <fills count="28">
    <fill>
      <patternFill patternType="none"/>
    </fill>
    <fill>
      <patternFill patternType="gray125"/>
    </fill>
    <fill>
      <patternFill patternType="solid">
        <fgColor rgb="FF4C5F74"/>
      </patternFill>
    </fill>
    <fill>
      <patternFill patternType="solid">
        <fgColor rgb="FFFFFFFF"/>
      </patternFill>
    </fill>
    <fill>
      <patternFill patternType="solid">
        <fgColor theme="9" tint="0.79998168889431442"/>
        <bgColor indexed="64"/>
      </patternFill>
    </fill>
    <fill>
      <patternFill patternType="solid">
        <fgColor theme="9" tint="-0.249977111117893"/>
        <bgColor indexed="64"/>
      </patternFill>
    </fill>
    <fill>
      <patternFill patternType="solid">
        <fgColor theme="3"/>
        <bgColor indexed="64"/>
      </patternFill>
    </fill>
    <fill>
      <patternFill patternType="solid">
        <fgColor theme="3" tint="0.79998168889431442"/>
        <bgColor indexed="64"/>
      </patternFill>
    </fill>
    <fill>
      <patternFill patternType="solid">
        <fgColor theme="6"/>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theme="7"/>
        <bgColor indexed="64"/>
      </patternFill>
    </fill>
    <fill>
      <patternFill patternType="solid">
        <fgColor theme="7" tint="0.79998168889431442"/>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6" tint="0.59999389629810485"/>
        <bgColor indexed="64"/>
      </patternFill>
    </fill>
    <fill>
      <patternFill patternType="solid">
        <fgColor theme="2" tint="-0.499984740745262"/>
        <bgColor indexed="64"/>
      </patternFill>
    </fill>
    <fill>
      <patternFill patternType="solid">
        <fgColor theme="2" tint="-9.9978637043366805E-2"/>
        <bgColor indexed="64"/>
      </patternFill>
    </fill>
    <fill>
      <patternFill patternType="solid">
        <fgColor theme="1"/>
        <bgColor indexed="64"/>
      </patternFill>
    </fill>
    <fill>
      <patternFill patternType="solid">
        <fgColor theme="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bgColor indexed="64"/>
      </patternFill>
    </fill>
    <fill>
      <patternFill patternType="solid">
        <fgColor theme="5" tint="0.59999389629810485"/>
        <bgColor indexed="64"/>
      </patternFill>
    </fill>
    <fill>
      <patternFill patternType="solid">
        <fgColor rgb="FFFFFF00"/>
        <bgColor indexed="64"/>
      </patternFill>
    </fill>
    <fill>
      <patternFill patternType="solid">
        <fgColor theme="9"/>
        <bgColor indexed="64"/>
      </patternFill>
    </fill>
    <fill>
      <patternFill patternType="solid">
        <fgColor theme="7" tint="0.59999389629810485"/>
        <bgColor indexed="64"/>
      </patternFill>
    </fill>
  </fills>
  <borders count="39">
    <border>
      <left/>
      <right/>
      <top/>
      <bottom/>
      <diagonal/>
    </border>
    <border>
      <left style="thin">
        <color rgb="FF000000"/>
      </left>
      <right style="thin">
        <color rgb="FF000000"/>
      </right>
      <top/>
      <bottom style="thin">
        <color rgb="FF000000"/>
      </bottom>
      <diagonal/>
    </border>
    <border>
      <left style="thin">
        <color rgb="FFD8DDE9"/>
      </left>
      <right style="thin">
        <color rgb="FFD8DDE9"/>
      </right>
      <top/>
      <bottom style="thin">
        <color rgb="FF000000"/>
      </bottom>
      <diagonal/>
    </border>
    <border>
      <left/>
      <right/>
      <top/>
      <bottom style="thin">
        <color rgb="FFD8DDE9"/>
      </bottom>
      <diagonal/>
    </border>
    <border>
      <left/>
      <right style="thin">
        <color rgb="FFD8DDE9"/>
      </right>
      <top/>
      <bottom style="thin">
        <color rgb="FFD8DDE9"/>
      </bottom>
      <diagonal/>
    </border>
    <border>
      <left style="thin">
        <color rgb="FFD8DDE9"/>
      </left>
      <right style="thin">
        <color rgb="FFD8DDE9"/>
      </right>
      <top/>
      <bottom style="thin">
        <color rgb="FFD8DDE9"/>
      </bottom>
      <diagonal/>
    </border>
    <border>
      <left style="thin">
        <color rgb="FFD8DDE9"/>
      </left>
      <right/>
      <top/>
      <bottom style="thin">
        <color rgb="FFD8DDE9"/>
      </bottom>
      <diagonal/>
    </border>
    <border>
      <left/>
      <right style="thin">
        <color rgb="FFD8DDE9"/>
      </right>
      <top style="thin">
        <color rgb="FFD8DDE9"/>
      </top>
      <bottom/>
      <diagonal/>
    </border>
    <border>
      <left style="thin">
        <color rgb="FFD8DDE9"/>
      </left>
      <right style="thin">
        <color rgb="FFD8DDE9"/>
      </right>
      <top style="thin">
        <color rgb="FFD8DDE9"/>
      </top>
      <bottom/>
      <diagonal/>
    </border>
    <border>
      <left style="thin">
        <color rgb="FFD8DDE9"/>
      </left>
      <right/>
      <top style="thin">
        <color rgb="FFD8DDE9"/>
      </top>
      <bottom/>
      <diagonal/>
    </border>
    <border>
      <left/>
      <right/>
      <top style="thin">
        <color rgb="FFD8DDE9"/>
      </top>
      <bottom/>
      <diagonal/>
    </border>
    <border>
      <left style="thin">
        <color rgb="FF000000"/>
      </left>
      <right style="thin">
        <color rgb="FFD8DDE9"/>
      </right>
      <top/>
      <bottom style="thin">
        <color rgb="FF000000"/>
      </bottom>
      <diagonal/>
    </border>
    <border>
      <left style="thin">
        <color rgb="FFD8DDE9"/>
      </left>
      <right/>
      <top/>
      <bottom style="thin">
        <color rgb="FF000000"/>
      </bottom>
      <diagonal/>
    </border>
    <border>
      <left/>
      <right style="thin">
        <color rgb="FFD8DDE9"/>
      </right>
      <top/>
      <bottom style="thin">
        <color rgb="FF000000"/>
      </bottom>
      <diagonal/>
    </border>
    <border>
      <left style="thin">
        <color rgb="FFD8DDE9"/>
      </left>
      <right style="thin">
        <color rgb="FF000000"/>
      </right>
      <top/>
      <bottom style="thin">
        <color rgb="FF000000"/>
      </bottom>
      <diagonal/>
    </border>
    <border>
      <left/>
      <right/>
      <top style="thin">
        <color rgb="FF000000"/>
      </top>
      <bottom/>
      <diagonal/>
    </border>
    <border>
      <left/>
      <right style="thin">
        <color rgb="FF8C9DB2"/>
      </right>
      <top/>
      <bottom/>
      <diagonal/>
    </border>
    <border>
      <left style="thin">
        <color rgb="FF8C9DB2"/>
      </left>
      <right/>
      <top/>
      <bottom/>
      <diagonal/>
    </border>
    <border>
      <left/>
      <right style="thin">
        <color rgb="FFD8DDE9"/>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35" fillId="0" borderId="0" applyNumberFormat="0" applyFill="0" applyBorder="0" applyAlignment="0" applyProtection="0"/>
  </cellStyleXfs>
  <cellXfs count="273">
    <xf numFmtId="0" fontId="0" fillId="0" borderId="0" xfId="0" applyAlignment="1">
      <alignment horizontal="left" vertical="top"/>
    </xf>
    <xf numFmtId="0" fontId="3" fillId="3" borderId="17" xfId="0" applyFont="1" applyFill="1" applyBorder="1" applyAlignment="1">
      <alignment horizontal="left" wrapText="1"/>
    </xf>
    <xf numFmtId="0" fontId="5" fillId="3" borderId="17" xfId="0" applyFont="1" applyFill="1" applyBorder="1" applyAlignment="1">
      <alignment horizontal="left" vertical="center" wrapText="1"/>
    </xf>
    <xf numFmtId="2" fontId="4" fillId="0" borderId="17" xfId="0" applyNumberFormat="1" applyFont="1" applyBorder="1" applyAlignment="1">
      <alignment horizontal="right" vertical="top" indent="1" shrinkToFit="1"/>
    </xf>
    <xf numFmtId="0" fontId="6" fillId="0" borderId="0" xfId="0" applyFont="1" applyAlignment="1">
      <alignment horizontal="center" vertical="top"/>
    </xf>
    <xf numFmtId="0" fontId="6" fillId="0" borderId="0" xfId="0" applyFont="1" applyAlignment="1">
      <alignment horizontal="left" vertical="top"/>
    </xf>
    <xf numFmtId="0" fontId="8" fillId="0" borderId="0" xfId="0" applyFont="1" applyAlignment="1">
      <alignment horizontal="center" vertical="top" wrapText="1"/>
    </xf>
    <xf numFmtId="0" fontId="6" fillId="0" borderId="17" xfId="0" applyFont="1" applyBorder="1" applyAlignment="1">
      <alignment horizontal="center" vertical="center" wrapText="1"/>
    </xf>
    <xf numFmtId="0" fontId="6" fillId="0" borderId="0" xfId="0" applyFont="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vertical="center" wrapText="1"/>
    </xf>
    <xf numFmtId="0" fontId="10" fillId="2" borderId="9" xfId="0" applyFont="1" applyFill="1" applyBorder="1" applyAlignment="1">
      <alignment horizontal="center" vertical="center" wrapText="1"/>
    </xf>
    <xf numFmtId="0" fontId="6" fillId="0" borderId="3" xfId="0" applyFont="1" applyBorder="1" applyAlignment="1">
      <alignment horizontal="left" wrapText="1"/>
    </xf>
    <xf numFmtId="0" fontId="6" fillId="2" borderId="5" xfId="0" applyFont="1" applyFill="1" applyBorder="1" applyAlignment="1">
      <alignment horizontal="left" wrapText="1"/>
    </xf>
    <xf numFmtId="0" fontId="13" fillId="2" borderId="5" xfId="0" applyFont="1" applyFill="1" applyBorder="1" applyAlignment="1">
      <alignment horizontal="center" vertical="top" wrapText="1"/>
    </xf>
    <xf numFmtId="0" fontId="6" fillId="2" borderId="6" xfId="0" applyFont="1" applyFill="1" applyBorder="1" applyAlignment="1">
      <alignment horizontal="left" wrapText="1"/>
    </xf>
    <xf numFmtId="0" fontId="11" fillId="2" borderId="7" xfId="0" applyFont="1" applyFill="1" applyBorder="1" applyAlignment="1">
      <alignment horizontal="center" vertical="top" wrapText="1"/>
    </xf>
    <xf numFmtId="0" fontId="13" fillId="2" borderId="9" xfId="0" applyFont="1" applyFill="1" applyBorder="1" applyAlignment="1">
      <alignment horizontal="center" vertical="top" wrapText="1"/>
    </xf>
    <xf numFmtId="0" fontId="6" fillId="0" borderId="10" xfId="0" applyFont="1" applyBorder="1" applyAlignment="1">
      <alignment horizontal="left" wrapText="1"/>
    </xf>
    <xf numFmtId="0" fontId="13" fillId="2" borderId="8" xfId="0" applyFont="1" applyFill="1" applyBorder="1" applyAlignment="1">
      <alignment horizontal="center" vertical="top" wrapText="1"/>
    </xf>
    <xf numFmtId="0" fontId="11" fillId="2" borderId="9" xfId="0" applyFont="1" applyFill="1" applyBorder="1" applyAlignment="1">
      <alignment horizontal="left" vertical="top" wrapText="1" indent="1"/>
    </xf>
    <xf numFmtId="1" fontId="15" fillId="0" borderId="11" xfId="0" applyNumberFormat="1" applyFont="1" applyBorder="1" applyAlignment="1">
      <alignment horizontal="center" vertical="top" shrinkToFit="1"/>
    </xf>
    <xf numFmtId="1" fontId="15" fillId="0" borderId="2" xfId="0" applyNumberFormat="1" applyFont="1" applyBorder="1" applyAlignment="1">
      <alignment horizontal="center" vertical="top" shrinkToFit="1"/>
    </xf>
    <xf numFmtId="164" fontId="15" fillId="0" borderId="14" xfId="0" applyNumberFormat="1" applyFont="1" applyBorder="1" applyAlignment="1">
      <alignment horizontal="center" vertical="top" shrinkToFit="1"/>
    </xf>
    <xf numFmtId="0" fontId="6" fillId="0" borderId="1" xfId="0" applyFont="1" applyBorder="1" applyAlignment="1">
      <alignment horizontal="left" wrapText="1"/>
    </xf>
    <xf numFmtId="0" fontId="16" fillId="0" borderId="11" xfId="0" applyFont="1" applyBorder="1" applyAlignment="1">
      <alignment horizontal="left" vertical="top" wrapText="1"/>
    </xf>
    <xf numFmtId="164" fontId="15" fillId="0" borderId="2" xfId="0" applyNumberFormat="1" applyFont="1" applyBorder="1" applyAlignment="1">
      <alignment horizontal="center" vertical="top" shrinkToFit="1"/>
    </xf>
    <xf numFmtId="0" fontId="3" fillId="0" borderId="0" xfId="0" applyFont="1" applyAlignment="1">
      <alignment horizontal="left" vertical="top"/>
    </xf>
    <xf numFmtId="0" fontId="11" fillId="2" borderId="7" xfId="0" applyFont="1" applyFill="1" applyBorder="1" applyAlignment="1">
      <alignment horizontal="center" vertical="center" wrapText="1"/>
    </xf>
    <xf numFmtId="0" fontId="10" fillId="2" borderId="7" xfId="0" applyFont="1" applyFill="1" applyBorder="1" applyAlignment="1">
      <alignment horizontal="center" vertical="center" wrapText="1"/>
    </xf>
    <xf numFmtId="166" fontId="3" fillId="0" borderId="0" xfId="0" applyNumberFormat="1" applyFont="1" applyAlignment="1">
      <alignment horizontal="right" vertical="top"/>
    </xf>
    <xf numFmtId="0" fontId="5" fillId="0" borderId="17" xfId="0" applyFont="1" applyBorder="1" applyAlignment="1">
      <alignment horizontal="right" vertical="center" wrapText="1"/>
    </xf>
    <xf numFmtId="0" fontId="5" fillId="0" borderId="17" xfId="0" applyFont="1" applyBorder="1" applyAlignment="1">
      <alignment horizontal="right" wrapText="1"/>
    </xf>
    <xf numFmtId="0" fontId="3" fillId="3" borderId="0" xfId="0" applyFont="1" applyFill="1" applyAlignment="1">
      <alignment horizontal="left" vertical="top" wrapText="1"/>
    </xf>
    <xf numFmtId="0" fontId="3" fillId="3" borderId="16" xfId="0" applyFont="1" applyFill="1" applyBorder="1" applyAlignment="1">
      <alignment horizontal="left" vertical="top" wrapText="1"/>
    </xf>
    <xf numFmtId="10" fontId="0" fillId="0" borderId="0" xfId="0" applyNumberFormat="1" applyAlignment="1">
      <alignment horizontal="left" vertical="top"/>
    </xf>
    <xf numFmtId="2" fontId="0" fillId="0" borderId="0" xfId="0" applyNumberFormat="1" applyAlignment="1">
      <alignment horizontal="left" vertical="top"/>
    </xf>
    <xf numFmtId="0" fontId="25" fillId="0" borderId="0" xfId="0" applyFont="1" applyAlignment="1">
      <alignment horizontal="left" vertical="top"/>
    </xf>
    <xf numFmtId="0" fontId="25" fillId="4" borderId="24" xfId="0" applyFont="1" applyFill="1" applyBorder="1" applyAlignment="1">
      <alignment horizontal="center" vertical="top"/>
    </xf>
    <xf numFmtId="0" fontId="0" fillId="7" borderId="24" xfId="0" applyFill="1" applyBorder="1" applyAlignment="1">
      <alignment horizontal="left" vertical="top"/>
    </xf>
    <xf numFmtId="0" fontId="25" fillId="7" borderId="24" xfId="0" applyFont="1" applyFill="1" applyBorder="1" applyAlignment="1">
      <alignment horizontal="left" vertical="top"/>
    </xf>
    <xf numFmtId="0" fontId="24" fillId="7" borderId="24" xfId="0" applyFont="1" applyFill="1" applyBorder="1" applyAlignment="1">
      <alignment horizontal="left" vertical="top"/>
    </xf>
    <xf numFmtId="0" fontId="24" fillId="7" borderId="24" xfId="0" applyFont="1" applyFill="1" applyBorder="1" applyAlignment="1">
      <alignment horizontal="center" vertical="top"/>
    </xf>
    <xf numFmtId="0" fontId="25" fillId="9" borderId="24" xfId="0" applyFont="1" applyFill="1" applyBorder="1" applyAlignment="1">
      <alignment horizontal="center" vertical="top"/>
    </xf>
    <xf numFmtId="2" fontId="28" fillId="10" borderId="24" xfId="0" applyNumberFormat="1" applyFont="1" applyFill="1" applyBorder="1" applyAlignment="1">
      <alignment horizontal="right" vertical="top"/>
    </xf>
    <xf numFmtId="49" fontId="25" fillId="0" borderId="0" xfId="0" applyNumberFormat="1" applyFont="1" applyAlignment="1">
      <alignment horizontal="left" vertical="top"/>
    </xf>
    <xf numFmtId="2" fontId="0" fillId="0" borderId="0" xfId="0" applyNumberFormat="1" applyAlignment="1">
      <alignment horizontal="right" vertical="top"/>
    </xf>
    <xf numFmtId="0" fontId="16" fillId="0" borderId="13" xfId="0" applyFont="1" applyBorder="1" applyAlignment="1">
      <alignment horizontal="left" vertical="top" wrapText="1"/>
    </xf>
    <xf numFmtId="0" fontId="5" fillId="0" borderId="16" xfId="0" applyFont="1" applyBorder="1" applyAlignment="1">
      <alignment horizontal="right" vertical="center" wrapText="1"/>
    </xf>
    <xf numFmtId="0" fontId="11" fillId="2" borderId="18" xfId="0" applyFont="1" applyFill="1" applyBorder="1" applyAlignment="1">
      <alignment horizontal="center" vertical="center" wrapText="1"/>
    </xf>
    <xf numFmtId="1" fontId="2" fillId="0" borderId="0" xfId="0" applyNumberFormat="1" applyFont="1" applyAlignment="1">
      <alignment horizontal="left" vertical="top" shrinkToFit="1"/>
    </xf>
    <xf numFmtId="0" fontId="2" fillId="0" borderId="0" xfId="0" applyFont="1" applyAlignment="1">
      <alignment horizontal="left" wrapText="1"/>
    </xf>
    <xf numFmtId="165" fontId="2" fillId="0" borderId="0" xfId="0" applyNumberFormat="1" applyFont="1" applyAlignment="1">
      <alignment horizontal="left" vertical="top" shrinkToFit="1"/>
    </xf>
    <xf numFmtId="0" fontId="3" fillId="3" borderId="0" xfId="0" applyFont="1" applyFill="1" applyAlignment="1">
      <alignment horizontal="left" vertical="center" wrapText="1"/>
    </xf>
    <xf numFmtId="0" fontId="3" fillId="3" borderId="0" xfId="0" applyFont="1" applyFill="1" applyAlignment="1">
      <alignment horizontal="left" wrapText="1"/>
    </xf>
    <xf numFmtId="0" fontId="12" fillId="2" borderId="18" xfId="0" applyFont="1" applyFill="1" applyBorder="1" applyAlignment="1">
      <alignment horizontal="center" vertical="center" wrapText="1"/>
    </xf>
    <xf numFmtId="166" fontId="3" fillId="0" borderId="0" xfId="0" applyNumberFormat="1" applyFont="1" applyAlignment="1">
      <alignment horizontal="center" vertical="top"/>
    </xf>
    <xf numFmtId="0" fontId="2" fillId="3" borderId="17" xfId="0" applyFont="1" applyFill="1" applyBorder="1" applyAlignment="1">
      <alignment horizontal="left" vertical="top" wrapText="1"/>
    </xf>
    <xf numFmtId="0" fontId="25" fillId="12" borderId="24" xfId="0" applyFont="1" applyFill="1" applyBorder="1" applyAlignment="1">
      <alignment horizontal="left" vertical="top"/>
    </xf>
    <xf numFmtId="49" fontId="25" fillId="12" borderId="24" xfId="0" applyNumberFormat="1" applyFont="1" applyFill="1" applyBorder="1" applyAlignment="1">
      <alignment horizontal="left" vertical="top"/>
    </xf>
    <xf numFmtId="0" fontId="0" fillId="12" borderId="24" xfId="0" applyFill="1" applyBorder="1" applyAlignment="1">
      <alignment horizontal="left" vertical="top"/>
    </xf>
    <xf numFmtId="0" fontId="28" fillId="0" borderId="0" xfId="0" applyFont="1" applyAlignment="1">
      <alignment horizontal="left" vertical="top"/>
    </xf>
    <xf numFmtId="2" fontId="28" fillId="13" borderId="24" xfId="0" applyNumberFormat="1" applyFont="1" applyFill="1" applyBorder="1" applyAlignment="1">
      <alignment horizontal="right" vertical="top"/>
    </xf>
    <xf numFmtId="2" fontId="28" fillId="14" borderId="24" xfId="0" applyNumberFormat="1" applyFont="1" applyFill="1" applyBorder="1" applyAlignment="1">
      <alignment horizontal="right" vertical="top"/>
    </xf>
    <xf numFmtId="0" fontId="28" fillId="0" borderId="0" xfId="0" applyFont="1" applyAlignment="1">
      <alignment horizontal="center" vertical="top"/>
    </xf>
    <xf numFmtId="2" fontId="28" fillId="0" borderId="0" xfId="0" applyNumberFormat="1" applyFont="1" applyAlignment="1">
      <alignment horizontal="right" vertical="top"/>
    </xf>
    <xf numFmtId="0" fontId="3" fillId="3" borderId="0" xfId="0" applyFont="1" applyFill="1" applyAlignment="1">
      <alignment vertical="top" wrapText="1"/>
    </xf>
    <xf numFmtId="0" fontId="3" fillId="3" borderId="16" xfId="0" applyFont="1" applyFill="1" applyBorder="1" applyAlignment="1">
      <alignment vertical="top" wrapText="1"/>
    </xf>
    <xf numFmtId="0" fontId="3" fillId="3" borderId="17" xfId="0" applyFont="1" applyFill="1" applyBorder="1" applyAlignment="1">
      <alignment horizontal="right" vertical="top" wrapText="1"/>
    </xf>
    <xf numFmtId="0" fontId="31" fillId="2" borderId="0" xfId="0" applyFont="1" applyFill="1" applyAlignment="1">
      <alignment horizontal="right" vertical="center" wrapText="1"/>
    </xf>
    <xf numFmtId="49" fontId="6" fillId="0" borderId="0" xfId="0" applyNumberFormat="1" applyFont="1" applyAlignment="1">
      <alignment horizontal="left" vertical="top"/>
    </xf>
    <xf numFmtId="0" fontId="21" fillId="0" borderId="19" xfId="0" applyFont="1" applyBorder="1" applyAlignment="1">
      <alignment vertical="top"/>
    </xf>
    <xf numFmtId="2" fontId="4" fillId="0" borderId="17" xfId="0" applyNumberFormat="1" applyFont="1" applyBorder="1" applyAlignment="1">
      <alignment horizontal="right" vertical="center" wrapText="1"/>
    </xf>
    <xf numFmtId="2" fontId="4" fillId="0" borderId="16" xfId="0" applyNumberFormat="1" applyFont="1" applyBorder="1" applyAlignment="1">
      <alignment horizontal="right" vertical="center" wrapText="1"/>
    </xf>
    <xf numFmtId="0" fontId="6" fillId="0" borderId="0" xfId="0" applyFont="1" applyAlignment="1">
      <alignment vertical="center"/>
    </xf>
    <xf numFmtId="0" fontId="15" fillId="0" borderId="0" xfId="0" applyFont="1" applyAlignment="1">
      <alignment horizontal="center" vertical="center"/>
    </xf>
    <xf numFmtId="0" fontId="12" fillId="2" borderId="0" xfId="0" applyFont="1" applyFill="1" applyAlignment="1">
      <alignment vertical="center" wrapText="1"/>
    </xf>
    <xf numFmtId="0" fontId="25" fillId="17" borderId="24" xfId="0" applyFont="1" applyFill="1" applyBorder="1" applyAlignment="1">
      <alignment horizontal="left" vertical="top"/>
    </xf>
    <xf numFmtId="0" fontId="0" fillId="18" borderId="0" xfId="0" applyFill="1" applyAlignment="1">
      <alignment horizontal="left" vertical="top"/>
    </xf>
    <xf numFmtId="0" fontId="33" fillId="19" borderId="24" xfId="0" applyFont="1" applyFill="1" applyBorder="1" applyAlignment="1">
      <alignment horizontal="center" vertical="top"/>
    </xf>
    <xf numFmtId="10" fontId="0" fillId="0" borderId="0" xfId="0" applyNumberFormat="1" applyAlignment="1">
      <alignment horizontal="center" vertical="top"/>
    </xf>
    <xf numFmtId="10" fontId="34" fillId="20" borderId="0" xfId="0" applyNumberFormat="1" applyFont="1" applyFill="1" applyAlignment="1">
      <alignment horizontal="center" vertical="top"/>
    </xf>
    <xf numFmtId="2" fontId="4" fillId="0" borderId="17" xfId="0" applyNumberFormat="1" applyFont="1" applyBorder="1" applyAlignment="1">
      <alignment horizontal="right" wrapText="1"/>
    </xf>
    <xf numFmtId="10" fontId="25" fillId="0" borderId="0" xfId="0" applyNumberFormat="1" applyFont="1" applyAlignment="1">
      <alignment horizontal="left" vertical="top"/>
    </xf>
    <xf numFmtId="0" fontId="0" fillId="9" borderId="0" xfId="0" applyFill="1" applyAlignment="1">
      <alignment horizontal="left" vertical="top"/>
    </xf>
    <xf numFmtId="167" fontId="0" fillId="9" borderId="0" xfId="0" applyNumberFormat="1" applyFill="1" applyAlignment="1">
      <alignment horizontal="left" vertical="top"/>
    </xf>
    <xf numFmtId="10" fontId="0" fillId="21" borderId="0" xfId="0" applyNumberFormat="1" applyFill="1" applyAlignment="1">
      <alignment horizontal="left" vertical="top"/>
    </xf>
    <xf numFmtId="10" fontId="0" fillId="22" borderId="0" xfId="0" applyNumberFormat="1" applyFill="1" applyAlignment="1">
      <alignment horizontal="left" vertical="top"/>
    </xf>
    <xf numFmtId="0" fontId="30" fillId="0" borderId="16" xfId="0" applyFont="1" applyBorder="1" applyAlignment="1">
      <alignment vertical="center" wrapText="1"/>
    </xf>
    <xf numFmtId="10" fontId="15" fillId="0" borderId="14" xfId="0" applyNumberFormat="1" applyFont="1" applyBorder="1" applyAlignment="1">
      <alignment horizontal="center" vertical="center" wrapText="1"/>
    </xf>
    <xf numFmtId="49" fontId="25" fillId="17" borderId="24" xfId="0" applyNumberFormat="1" applyFont="1" applyFill="1" applyBorder="1" applyAlignment="1" applyProtection="1">
      <alignment horizontal="left" vertical="top"/>
      <protection locked="0"/>
    </xf>
    <xf numFmtId="0" fontId="25" fillId="17" borderId="24" xfId="0" applyFont="1" applyFill="1" applyBorder="1" applyAlignment="1" applyProtection="1">
      <alignment horizontal="left" vertical="top"/>
      <protection locked="0"/>
    </xf>
    <xf numFmtId="0" fontId="0" fillId="17" borderId="24" xfId="0" applyFill="1" applyBorder="1" applyAlignment="1" applyProtection="1">
      <alignment horizontal="left" vertical="top"/>
      <protection locked="0"/>
    </xf>
    <xf numFmtId="0" fontId="0" fillId="7" borderId="24" xfId="0" applyFill="1" applyBorder="1" applyAlignment="1" applyProtection="1">
      <alignment horizontal="center" vertical="top"/>
      <protection locked="0"/>
    </xf>
    <xf numFmtId="9" fontId="0" fillId="7" borderId="24" xfId="0" applyNumberFormat="1" applyFill="1" applyBorder="1" applyAlignment="1" applyProtection="1">
      <alignment horizontal="center" vertical="top"/>
      <protection locked="0"/>
    </xf>
    <xf numFmtId="13" fontId="0" fillId="7" borderId="24" xfId="0" applyNumberFormat="1" applyFill="1" applyBorder="1" applyAlignment="1" applyProtection="1">
      <alignment horizontal="center" vertical="top"/>
      <protection locked="0"/>
    </xf>
    <xf numFmtId="0" fontId="25" fillId="7" borderId="24" xfId="0" applyFont="1" applyFill="1" applyBorder="1" applyAlignment="1" applyProtection="1">
      <alignment horizontal="center" vertical="top"/>
      <protection locked="0"/>
    </xf>
    <xf numFmtId="2" fontId="25" fillId="4" borderId="24" xfId="0" applyNumberFormat="1" applyFont="1" applyFill="1" applyBorder="1" applyAlignment="1" applyProtection="1">
      <alignment horizontal="right" vertical="top"/>
      <protection locked="0"/>
    </xf>
    <xf numFmtId="2" fontId="0" fillId="4" borderId="24" xfId="0" applyNumberFormat="1" applyFill="1" applyBorder="1" applyAlignment="1" applyProtection="1">
      <alignment horizontal="right" vertical="top"/>
      <protection locked="0"/>
    </xf>
    <xf numFmtId="49" fontId="25" fillId="9" borderId="24" xfId="0" applyNumberFormat="1" applyFont="1" applyFill="1" applyBorder="1" applyAlignment="1" applyProtection="1">
      <alignment horizontal="left" vertical="top"/>
      <protection locked="0"/>
    </xf>
    <xf numFmtId="2" fontId="25" fillId="9" borderId="24" xfId="0" applyNumberFormat="1" applyFont="1" applyFill="1" applyBorder="1" applyAlignment="1" applyProtection="1">
      <alignment horizontal="right" vertical="top"/>
      <protection locked="0"/>
    </xf>
    <xf numFmtId="2" fontId="0" fillId="9" borderId="24" xfId="0" applyNumberFormat="1" applyFill="1" applyBorder="1" applyAlignment="1" applyProtection="1">
      <alignment horizontal="right" vertical="top"/>
      <protection locked="0"/>
    </xf>
    <xf numFmtId="0" fontId="25" fillId="4" borderId="24" xfId="0" applyFont="1" applyFill="1" applyBorder="1" applyAlignment="1" applyProtection="1">
      <alignment horizontal="left" vertical="top"/>
      <protection locked="0"/>
    </xf>
    <xf numFmtId="2" fontId="0" fillId="12" borderId="24" xfId="0" applyNumberFormat="1" applyFill="1" applyBorder="1" applyAlignment="1" applyProtection="1">
      <alignment horizontal="right" vertical="top"/>
      <protection locked="0"/>
    </xf>
    <xf numFmtId="10" fontId="0" fillId="12" borderId="24" xfId="2" applyNumberFormat="1" applyFont="1" applyFill="1" applyBorder="1" applyAlignment="1" applyProtection="1">
      <alignment horizontal="right" vertical="top"/>
      <protection locked="0"/>
    </xf>
    <xf numFmtId="168" fontId="33" fillId="19" borderId="24" xfId="2" applyNumberFormat="1" applyFont="1" applyFill="1" applyBorder="1" applyAlignment="1" applyProtection="1">
      <alignment horizontal="center" vertical="top"/>
      <protection locked="0"/>
    </xf>
    <xf numFmtId="0" fontId="35" fillId="0" borderId="0" xfId="3" applyAlignment="1">
      <alignment horizontal="left" vertical="top"/>
    </xf>
    <xf numFmtId="0" fontId="21" fillId="0" borderId="31" xfId="0" applyFont="1" applyBorder="1" applyAlignment="1">
      <alignment vertical="top"/>
    </xf>
    <xf numFmtId="10" fontId="25" fillId="22" borderId="0" xfId="0" applyNumberFormat="1" applyFont="1" applyFill="1" applyAlignment="1">
      <alignment horizontal="left" vertical="top"/>
    </xf>
    <xf numFmtId="0" fontId="38" fillId="0" borderId="0" xfId="0" applyFont="1" applyAlignment="1">
      <alignment horizontal="left" vertical="top"/>
    </xf>
    <xf numFmtId="2" fontId="4" fillId="0" borderId="17" xfId="0" applyNumberFormat="1" applyFont="1" applyBorder="1" applyAlignment="1">
      <alignment vertical="top" shrinkToFit="1"/>
    </xf>
    <xf numFmtId="166" fontId="5" fillId="0" borderId="0" xfId="0" applyNumberFormat="1" applyFont="1" applyAlignment="1">
      <alignment horizontal="center" vertical="top"/>
    </xf>
    <xf numFmtId="0" fontId="0" fillId="23" borderId="0" xfId="0" applyFill="1" applyAlignment="1">
      <alignment horizontal="left" vertical="top"/>
    </xf>
    <xf numFmtId="0" fontId="0" fillId="23" borderId="0" xfId="0" applyFill="1" applyAlignment="1" applyProtection="1">
      <alignment horizontal="center" vertical="top"/>
      <protection locked="0"/>
    </xf>
    <xf numFmtId="0" fontId="0" fillId="6" borderId="22" xfId="0" applyFill="1" applyBorder="1" applyAlignment="1">
      <alignment horizontal="left" vertical="top"/>
    </xf>
    <xf numFmtId="0" fontId="0" fillId="6" borderId="37" xfId="0" applyFill="1" applyBorder="1" applyAlignment="1">
      <alignment horizontal="left" vertical="top"/>
    </xf>
    <xf numFmtId="0" fontId="36" fillId="23" borderId="0" xfId="0" applyFont="1" applyFill="1" applyAlignment="1">
      <alignment vertical="center" wrapText="1"/>
    </xf>
    <xf numFmtId="0" fontId="5" fillId="0" borderId="17" xfId="0" applyFont="1" applyBorder="1" applyAlignment="1">
      <alignment vertical="center" wrapText="1"/>
    </xf>
    <xf numFmtId="2" fontId="4" fillId="0" borderId="17" xfId="0" applyNumberFormat="1" applyFont="1" applyBorder="1" applyAlignment="1">
      <alignment vertical="center" shrinkToFit="1"/>
    </xf>
    <xf numFmtId="0" fontId="2" fillId="0" borderId="17" xfId="0" applyFont="1" applyBorder="1" applyAlignment="1">
      <alignment horizontal="left" vertical="top" wrapText="1"/>
    </xf>
    <xf numFmtId="0" fontId="3" fillId="0" borderId="0" xfId="0" applyFont="1" applyAlignment="1">
      <alignment horizontal="left" vertical="top" wrapText="1"/>
    </xf>
    <xf numFmtId="0" fontId="3" fillId="0" borderId="16" xfId="0" applyFont="1" applyBorder="1" applyAlignment="1">
      <alignment horizontal="left" vertical="top" wrapText="1"/>
    </xf>
    <xf numFmtId="2" fontId="4" fillId="0" borderId="17" xfId="0" applyNumberFormat="1" applyFont="1" applyBorder="1" applyAlignment="1">
      <alignment horizontal="center" vertical="center" wrapText="1"/>
    </xf>
    <xf numFmtId="2" fontId="4" fillId="0" borderId="16" xfId="0" applyNumberFormat="1" applyFont="1" applyBorder="1" applyAlignment="1">
      <alignment horizontal="center" vertical="center" wrapText="1"/>
    </xf>
    <xf numFmtId="2" fontId="4" fillId="0" borderId="16" xfId="0" applyNumberFormat="1" applyFont="1" applyBorder="1" applyAlignment="1">
      <alignment vertical="top" shrinkToFit="1"/>
    </xf>
    <xf numFmtId="0" fontId="41" fillId="0" borderId="0" xfId="0" applyFont="1" applyAlignment="1">
      <alignment horizontal="left" vertical="top"/>
    </xf>
    <xf numFmtId="49" fontId="0" fillId="0" borderId="0" xfId="0" applyNumberFormat="1" applyAlignment="1">
      <alignment horizontal="left" vertical="top"/>
    </xf>
    <xf numFmtId="49" fontId="41" fillId="0" borderId="0" xfId="0" applyNumberFormat="1" applyFont="1" applyAlignment="1">
      <alignment horizontal="left" vertical="top"/>
    </xf>
    <xf numFmtId="0" fontId="25" fillId="4" borderId="24" xfId="0" applyFont="1" applyFill="1" applyBorder="1" applyAlignment="1">
      <alignment horizontal="left" vertical="top"/>
    </xf>
    <xf numFmtId="0" fontId="25" fillId="9" borderId="24" xfId="0" applyFont="1" applyFill="1" applyBorder="1" applyAlignment="1">
      <alignment horizontal="left" vertical="top"/>
    </xf>
    <xf numFmtId="10" fontId="34" fillId="20" borderId="24" xfId="0" applyNumberFormat="1" applyFont="1" applyFill="1" applyBorder="1" applyAlignment="1" applyProtection="1">
      <alignment horizontal="center" vertical="top"/>
      <protection locked="0"/>
    </xf>
    <xf numFmtId="10" fontId="34" fillId="9" borderId="24" xfId="0" applyNumberFormat="1" applyFont="1" applyFill="1" applyBorder="1" applyAlignment="1" applyProtection="1">
      <alignment horizontal="center" vertical="top"/>
      <protection locked="0"/>
    </xf>
    <xf numFmtId="0" fontId="46" fillId="9" borderId="24" xfId="0" applyFont="1" applyFill="1" applyBorder="1" applyAlignment="1">
      <alignment horizontal="center" vertical="center"/>
    </xf>
    <xf numFmtId="2" fontId="34" fillId="9" borderId="24" xfId="0" applyNumberFormat="1" applyFont="1" applyFill="1" applyBorder="1" applyAlignment="1" applyProtection="1">
      <alignment horizontal="center" vertical="top"/>
      <protection locked="0"/>
    </xf>
    <xf numFmtId="10" fontId="25" fillId="12" borderId="24" xfId="0" applyNumberFormat="1" applyFont="1" applyFill="1" applyBorder="1" applyAlignment="1" applyProtection="1">
      <alignment horizontal="right" vertical="top"/>
      <protection locked="0"/>
    </xf>
    <xf numFmtId="0" fontId="48" fillId="27" borderId="24" xfId="0" applyFont="1" applyFill="1" applyBorder="1" applyAlignment="1" applyProtection="1">
      <alignment horizontal="center" vertical="center"/>
      <protection locked="0"/>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16" xfId="0" applyFont="1" applyBorder="1" applyAlignment="1">
      <alignment horizontal="left" vertical="top" wrapText="1"/>
    </xf>
    <xf numFmtId="0" fontId="5" fillId="0" borderId="17" xfId="0" applyFont="1" applyBorder="1" applyAlignment="1">
      <alignment horizontal="right" vertical="center" wrapText="1"/>
    </xf>
    <xf numFmtId="0" fontId="5" fillId="0" borderId="16" xfId="0" applyFont="1" applyBorder="1" applyAlignment="1">
      <alignment horizontal="right" vertical="center" wrapText="1"/>
    </xf>
    <xf numFmtId="0" fontId="17" fillId="0" borderId="17" xfId="0" applyFont="1" applyBorder="1" applyAlignment="1">
      <alignment horizontal="left" vertical="top" wrapText="1"/>
    </xf>
    <xf numFmtId="0" fontId="17" fillId="0" borderId="0" xfId="0" applyFont="1" applyAlignment="1">
      <alignment horizontal="left" vertical="top" wrapText="1"/>
    </xf>
    <xf numFmtId="0" fontId="17" fillId="0" borderId="16" xfId="0" applyFont="1" applyBorder="1" applyAlignment="1">
      <alignment horizontal="left" vertical="top" wrapText="1"/>
    </xf>
    <xf numFmtId="2" fontId="4" fillId="0" borderId="17" xfId="0" applyNumberFormat="1" applyFont="1" applyBorder="1" applyAlignment="1">
      <alignment vertical="top" shrinkToFit="1"/>
    </xf>
    <xf numFmtId="2" fontId="4" fillId="0" borderId="16" xfId="0" applyNumberFormat="1" applyFont="1" applyBorder="1" applyAlignment="1">
      <alignment vertical="top" shrinkToFi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16" xfId="0" applyFont="1" applyBorder="1" applyAlignment="1">
      <alignment horizontal="left" vertical="top" wrapText="1"/>
    </xf>
    <xf numFmtId="2" fontId="4" fillId="0" borderId="17" xfId="0" applyNumberFormat="1" applyFont="1" applyBorder="1" applyAlignment="1">
      <alignment horizontal="right" wrapText="1"/>
    </xf>
    <xf numFmtId="0" fontId="4" fillId="0" borderId="16" xfId="0" applyFont="1" applyBorder="1" applyAlignment="1">
      <alignment horizontal="right" wrapText="1"/>
    </xf>
    <xf numFmtId="2" fontId="4" fillId="0" borderId="17" xfId="0" applyNumberFormat="1" applyFont="1" applyBorder="1" applyAlignment="1">
      <alignment horizontal="center" vertical="center" wrapText="1"/>
    </xf>
    <xf numFmtId="2" fontId="4" fillId="0" borderId="16" xfId="0" applyNumberFormat="1" applyFont="1" applyBorder="1" applyAlignment="1">
      <alignment horizontal="center" vertical="center" wrapText="1"/>
    </xf>
    <xf numFmtId="0" fontId="36" fillId="8" borderId="0" xfId="0" applyFont="1" applyFill="1" applyAlignment="1">
      <alignment horizontal="center" vertical="center" wrapText="1"/>
    </xf>
    <xf numFmtId="0" fontId="5" fillId="0" borderId="0" xfId="0" applyFont="1" applyAlignment="1">
      <alignment horizontal="center" vertical="center"/>
    </xf>
    <xf numFmtId="0" fontId="21" fillId="0" borderId="22" xfId="0" applyFont="1" applyBorder="1" applyAlignment="1">
      <alignment horizontal="left" vertical="top"/>
    </xf>
    <xf numFmtId="0" fontId="21" fillId="0" borderId="0" xfId="0" applyFont="1" applyAlignment="1">
      <alignment horizontal="left" vertical="top"/>
    </xf>
    <xf numFmtId="0" fontId="21" fillId="0" borderId="23" xfId="0" applyFont="1" applyBorder="1" applyAlignment="1">
      <alignment horizontal="left" vertical="top"/>
    </xf>
    <xf numFmtId="0" fontId="12" fillId="2" borderId="18" xfId="0" applyFont="1" applyFill="1" applyBorder="1" applyAlignment="1">
      <alignment horizontal="center" vertical="center" wrapText="1"/>
    </xf>
    <xf numFmtId="0" fontId="11" fillId="2" borderId="18" xfId="0" applyFont="1" applyFill="1" applyBorder="1" applyAlignment="1">
      <alignment horizontal="center" vertical="center" wrapText="1"/>
    </xf>
    <xf numFmtId="166" fontId="5" fillId="0" borderId="0" xfId="0" applyNumberFormat="1" applyFont="1" applyAlignment="1">
      <alignment horizontal="center" vertical="top"/>
    </xf>
    <xf numFmtId="0" fontId="5" fillId="0" borderId="0" xfId="0" applyFont="1" applyAlignment="1">
      <alignment horizontal="center" vertical="top"/>
    </xf>
    <xf numFmtId="0" fontId="21" fillId="0" borderId="22" xfId="0" applyFont="1" applyBorder="1" applyAlignment="1">
      <alignment horizontal="left" vertical="center"/>
    </xf>
    <xf numFmtId="0" fontId="21" fillId="0" borderId="0" xfId="0" applyFont="1" applyAlignment="1">
      <alignment horizontal="left" vertical="center"/>
    </xf>
    <xf numFmtId="0" fontId="21" fillId="0" borderId="23" xfId="0" applyFont="1" applyBorder="1" applyAlignment="1">
      <alignment horizontal="left" vertical="center"/>
    </xf>
    <xf numFmtId="0" fontId="12" fillId="2" borderId="0" xfId="0" applyFont="1" applyFill="1" applyAlignment="1">
      <alignment horizontal="center" vertical="center" wrapText="1"/>
    </xf>
    <xf numFmtId="0" fontId="21" fillId="0" borderId="20" xfId="0" applyFont="1" applyBorder="1" applyAlignment="1">
      <alignment horizontal="center" vertical="top"/>
    </xf>
    <xf numFmtId="0" fontId="21" fillId="0" borderId="21" xfId="0" applyFont="1" applyBorder="1" applyAlignment="1">
      <alignment horizontal="center" vertical="top"/>
    </xf>
    <xf numFmtId="0" fontId="5" fillId="0" borderId="17" xfId="0" applyFont="1" applyBorder="1" applyAlignment="1">
      <alignment horizontal="center" vertical="center" wrapText="1"/>
    </xf>
    <xf numFmtId="0" fontId="5" fillId="0" borderId="16" xfId="0" applyFont="1" applyBorder="1" applyAlignment="1">
      <alignment horizontal="center" vertical="center" wrapText="1"/>
    </xf>
    <xf numFmtId="2" fontId="4" fillId="0" borderId="17" xfId="0" applyNumberFormat="1" applyFont="1" applyBorder="1" applyAlignment="1">
      <alignment horizontal="right" vertical="top" shrinkToFit="1"/>
    </xf>
    <xf numFmtId="2" fontId="4" fillId="0" borderId="16" xfId="0" applyNumberFormat="1" applyFont="1" applyBorder="1" applyAlignment="1">
      <alignment horizontal="right" vertical="top" shrinkToFit="1"/>
    </xf>
    <xf numFmtId="0" fontId="26" fillId="0" borderId="17" xfId="0" applyFont="1" applyBorder="1" applyAlignment="1">
      <alignment horizontal="left" vertical="top" wrapText="1"/>
    </xf>
    <xf numFmtId="0" fontId="26" fillId="0" borderId="0" xfId="0" applyFont="1" applyAlignment="1">
      <alignment horizontal="left" vertical="top" wrapText="1"/>
    </xf>
    <xf numFmtId="0" fontId="26" fillId="0" borderId="16" xfId="0" applyFont="1" applyBorder="1" applyAlignment="1">
      <alignment horizontal="left" vertical="top" wrapText="1"/>
    </xf>
    <xf numFmtId="2" fontId="4" fillId="0" borderId="17" xfId="0" applyNumberFormat="1" applyFont="1" applyBorder="1" applyAlignment="1">
      <alignment horizontal="center" vertical="top" shrinkToFit="1"/>
    </xf>
    <xf numFmtId="2" fontId="4" fillId="0" borderId="16" xfId="0" applyNumberFormat="1" applyFont="1" applyBorder="1" applyAlignment="1">
      <alignment horizontal="center" vertical="top" shrinkToFit="1"/>
    </xf>
    <xf numFmtId="0" fontId="11" fillId="2" borderId="10"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20" fillId="15" borderId="0" xfId="0" applyFont="1" applyFill="1" applyAlignment="1">
      <alignment horizontal="center" vertical="center"/>
    </xf>
    <xf numFmtId="2" fontId="29" fillId="15" borderId="0" xfId="0" applyNumberFormat="1" applyFont="1" applyFill="1" applyAlignment="1">
      <alignment horizontal="center" vertical="center"/>
    </xf>
    <xf numFmtId="0" fontId="29" fillId="15" borderId="0" xfId="0" applyFont="1" applyFill="1" applyAlignment="1">
      <alignment horizontal="center" vertical="center"/>
    </xf>
    <xf numFmtId="0" fontId="5" fillId="3" borderId="17"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32" fillId="2" borderId="0" xfId="0" applyFont="1" applyFill="1" applyAlignment="1">
      <alignment horizontal="left" vertical="center" wrapText="1"/>
    </xf>
    <xf numFmtId="0" fontId="32" fillId="2" borderId="18" xfId="0" applyFont="1" applyFill="1" applyBorder="1" applyAlignment="1">
      <alignment horizontal="left" vertical="center" wrapText="1"/>
    </xf>
    <xf numFmtId="0" fontId="3" fillId="3" borderId="17" xfId="0" applyFont="1" applyFill="1" applyBorder="1" applyAlignment="1">
      <alignment horizontal="left" wrapText="1"/>
    </xf>
    <xf numFmtId="0" fontId="3" fillId="3" borderId="16" xfId="0" applyFont="1" applyFill="1" applyBorder="1" applyAlignment="1">
      <alignment horizontal="left" wrapText="1"/>
    </xf>
    <xf numFmtId="10" fontId="2" fillId="3" borderId="0" xfId="0" applyNumberFormat="1" applyFont="1" applyFill="1" applyAlignment="1">
      <alignment horizontal="left" vertical="top" wrapText="1"/>
    </xf>
    <xf numFmtId="0" fontId="19" fillId="3" borderId="17" xfId="0" applyFont="1" applyFill="1" applyBorder="1" applyAlignment="1">
      <alignment horizontal="right" vertical="top" wrapText="1"/>
    </xf>
    <xf numFmtId="0" fontId="19" fillId="3" borderId="0" xfId="0" applyFont="1" applyFill="1" applyAlignment="1">
      <alignment horizontal="right" vertical="top" wrapText="1"/>
    </xf>
    <xf numFmtId="0" fontId="19" fillId="3" borderId="16" xfId="0" applyFont="1" applyFill="1" applyBorder="1" applyAlignment="1">
      <alignment horizontal="right" vertical="top" wrapText="1"/>
    </xf>
    <xf numFmtId="0" fontId="11" fillId="2" borderId="3" xfId="0" applyFont="1" applyFill="1" applyBorder="1" applyAlignment="1">
      <alignment horizontal="center" vertical="top" wrapText="1"/>
    </xf>
    <xf numFmtId="0" fontId="10" fillId="2" borderId="18" xfId="0" applyFont="1" applyFill="1" applyBorder="1" applyAlignment="1">
      <alignment horizontal="center" vertical="center" wrapText="1"/>
    </xf>
    <xf numFmtId="0" fontId="13" fillId="2" borderId="6" xfId="0" applyFont="1" applyFill="1" applyBorder="1" applyAlignment="1">
      <alignment horizontal="left" vertical="top" wrapText="1" indent="1"/>
    </xf>
    <xf numFmtId="0" fontId="13" fillId="2" borderId="4" xfId="0" applyFont="1" applyFill="1" applyBorder="1" applyAlignment="1">
      <alignment horizontal="left" vertical="top" wrapText="1" indent="1"/>
    </xf>
    <xf numFmtId="0" fontId="10" fillId="2" borderId="10" xfId="0" applyFont="1" applyFill="1" applyBorder="1" applyAlignment="1">
      <alignment horizontal="center" vertical="top" wrapText="1"/>
    </xf>
    <xf numFmtId="0" fontId="10" fillId="2" borderId="7" xfId="0" applyFont="1" applyFill="1" applyBorder="1" applyAlignment="1">
      <alignment horizontal="center" vertical="top" wrapText="1"/>
    </xf>
    <xf numFmtId="0" fontId="6" fillId="0" borderId="0" xfId="0" applyFont="1" applyAlignment="1">
      <alignment horizontal="center" vertical="top"/>
    </xf>
    <xf numFmtId="0" fontId="23" fillId="2" borderId="0" xfId="0" applyFont="1" applyFill="1" applyAlignment="1">
      <alignment horizontal="center" vertical="center" wrapText="1"/>
    </xf>
    <xf numFmtId="0" fontId="8" fillId="0" borderId="0" xfId="0" applyFont="1" applyAlignment="1">
      <alignment horizontal="center" vertical="top" wrapText="1"/>
    </xf>
    <xf numFmtId="0" fontId="6" fillId="0" borderId="17" xfId="0" applyFont="1" applyBorder="1" applyAlignment="1">
      <alignment horizontal="center" vertical="center" wrapText="1"/>
    </xf>
    <xf numFmtId="0" fontId="6" fillId="0" borderId="0" xfId="0" applyFont="1" applyAlignment="1">
      <alignment horizontal="center" vertical="center" wrapText="1"/>
    </xf>
    <xf numFmtId="49" fontId="30" fillId="0" borderId="0" xfId="0" applyNumberFormat="1" applyFont="1" applyAlignment="1">
      <alignment horizontal="center" vertical="center" wrapText="1"/>
    </xf>
    <xf numFmtId="0" fontId="30" fillId="0" borderId="0" xfId="0" applyFont="1" applyAlignment="1">
      <alignment horizontal="center" vertical="center" wrapText="1"/>
    </xf>
    <xf numFmtId="0" fontId="30" fillId="0" borderId="16" xfId="0" applyFont="1" applyBorder="1" applyAlignment="1">
      <alignment horizontal="center" vertical="center" wrapText="1"/>
    </xf>
    <xf numFmtId="0" fontId="7" fillId="2" borderId="0" xfId="0" applyFont="1" applyFill="1" applyAlignment="1">
      <alignment horizontal="center" vertical="center" wrapText="1"/>
    </xf>
    <xf numFmtId="0" fontId="7" fillId="2" borderId="18" xfId="0" applyFont="1" applyFill="1" applyBorder="1" applyAlignment="1">
      <alignment horizontal="center" vertical="center" wrapText="1"/>
    </xf>
    <xf numFmtId="0" fontId="13" fillId="2" borderId="9" xfId="0" applyFont="1" applyFill="1" applyBorder="1" applyAlignment="1">
      <alignment horizontal="left" vertical="top" wrapText="1" indent="1"/>
    </xf>
    <xf numFmtId="0" fontId="13" fillId="2" borderId="7" xfId="0" applyFont="1" applyFill="1" applyBorder="1" applyAlignment="1">
      <alignment horizontal="left" vertical="top" wrapText="1" indent="1"/>
    </xf>
    <xf numFmtId="0" fontId="40" fillId="25" borderId="0" xfId="0" applyFont="1" applyFill="1" applyAlignment="1">
      <alignment horizontal="center" vertical="top"/>
    </xf>
    <xf numFmtId="1" fontId="2" fillId="0" borderId="0" xfId="0" applyNumberFormat="1" applyFont="1" applyAlignment="1">
      <alignment horizontal="left" vertical="top" shrinkToFit="1"/>
    </xf>
    <xf numFmtId="1" fontId="2" fillId="0" borderId="16" xfId="0" applyNumberFormat="1" applyFont="1" applyBorder="1" applyAlignment="1">
      <alignment horizontal="left" vertical="top" shrinkToFit="1"/>
    </xf>
    <xf numFmtId="1" fontId="15" fillId="0" borderId="12" xfId="1" applyNumberFormat="1" applyFont="1" applyBorder="1" applyAlignment="1">
      <alignment horizontal="center" vertical="top" shrinkToFit="1"/>
    </xf>
    <xf numFmtId="1" fontId="15" fillId="0" borderId="13" xfId="1" applyNumberFormat="1" applyFont="1" applyBorder="1" applyAlignment="1">
      <alignment horizontal="center" vertical="top" shrinkToFit="1"/>
    </xf>
    <xf numFmtId="0" fontId="12" fillId="2" borderId="15" xfId="0" applyFont="1" applyFill="1" applyBorder="1" applyAlignment="1">
      <alignment horizontal="left" vertical="top" wrapText="1"/>
    </xf>
    <xf numFmtId="0" fontId="11" fillId="2" borderId="15" xfId="0" applyFont="1" applyFill="1" applyBorder="1" applyAlignment="1">
      <alignment horizontal="left" vertical="top" wrapText="1"/>
    </xf>
    <xf numFmtId="2" fontId="4" fillId="0" borderId="17" xfId="0" applyNumberFormat="1" applyFont="1" applyBorder="1" applyAlignment="1">
      <alignment horizontal="right" vertical="center" wrapText="1"/>
    </xf>
    <xf numFmtId="2" fontId="4" fillId="0" borderId="16" xfId="0" applyNumberFormat="1" applyFont="1" applyBorder="1" applyAlignment="1">
      <alignment horizontal="right" vertical="center" wrapText="1"/>
    </xf>
    <xf numFmtId="0" fontId="38" fillId="24" borderId="0" xfId="0" applyFont="1" applyFill="1" applyAlignment="1">
      <alignment horizontal="center" vertical="top"/>
    </xf>
    <xf numFmtId="0" fontId="38" fillId="0" borderId="0" xfId="0" applyFont="1" applyAlignment="1">
      <alignment horizontal="center" vertical="top" wrapText="1"/>
    </xf>
    <xf numFmtId="0" fontId="34" fillId="20" borderId="24" xfId="0" applyFont="1" applyFill="1" applyBorder="1" applyAlignment="1">
      <alignment horizontal="center" vertical="top" wrapText="1"/>
    </xf>
    <xf numFmtId="10" fontId="34" fillId="20" borderId="24" xfId="0" applyNumberFormat="1" applyFont="1" applyFill="1" applyBorder="1" applyAlignment="1" applyProtection="1">
      <alignment horizontal="center" vertical="center"/>
      <protection locked="0"/>
    </xf>
    <xf numFmtId="0" fontId="27" fillId="18" borderId="24" xfId="0" applyFont="1" applyFill="1" applyBorder="1" applyAlignment="1">
      <alignment horizontal="center" vertical="top"/>
    </xf>
    <xf numFmtId="0" fontId="34" fillId="20" borderId="24" xfId="0" applyFont="1" applyFill="1" applyBorder="1" applyAlignment="1">
      <alignment horizontal="center" vertical="top"/>
    </xf>
    <xf numFmtId="0" fontId="28" fillId="14" borderId="24" xfId="0" applyFont="1" applyFill="1" applyBorder="1" applyAlignment="1">
      <alignment horizontal="center" vertical="top"/>
    </xf>
    <xf numFmtId="0" fontId="27" fillId="5" borderId="24" xfId="0" applyFont="1" applyFill="1" applyBorder="1" applyAlignment="1">
      <alignment horizontal="center" vertical="top"/>
    </xf>
    <xf numFmtId="0" fontId="27" fillId="6" borderId="24" xfId="0" applyFont="1" applyFill="1" applyBorder="1" applyAlignment="1">
      <alignment horizontal="center" vertical="top"/>
    </xf>
    <xf numFmtId="0" fontId="27" fillId="8" borderId="27" xfId="0" applyFont="1" applyFill="1" applyBorder="1" applyAlignment="1">
      <alignment horizontal="center" vertical="top" wrapText="1"/>
    </xf>
    <xf numFmtId="0" fontId="28" fillId="10" borderId="24" xfId="0" applyFont="1" applyFill="1" applyBorder="1" applyAlignment="1">
      <alignment horizontal="center" vertical="top"/>
    </xf>
    <xf numFmtId="0" fontId="28" fillId="13" borderId="24" xfId="0" applyFont="1" applyFill="1" applyBorder="1" applyAlignment="1">
      <alignment horizontal="center" vertical="top"/>
    </xf>
    <xf numFmtId="0" fontId="46" fillId="9" borderId="24" xfId="0" applyFont="1" applyFill="1" applyBorder="1" applyAlignment="1">
      <alignment horizontal="center" vertical="center" wrapText="1"/>
    </xf>
    <xf numFmtId="0" fontId="47" fillId="15" borderId="38" xfId="0" applyFont="1" applyFill="1" applyBorder="1" applyAlignment="1">
      <alignment horizontal="center" vertical="top"/>
    </xf>
    <xf numFmtId="0" fontId="46" fillId="9" borderId="28" xfId="0" applyFont="1" applyFill="1" applyBorder="1" applyAlignment="1">
      <alignment horizontal="center" vertical="center" wrapText="1"/>
    </xf>
    <xf numFmtId="0" fontId="46" fillId="9" borderId="30" xfId="0" applyFont="1" applyFill="1" applyBorder="1" applyAlignment="1">
      <alignment horizontal="center" vertical="center" wrapText="1"/>
    </xf>
    <xf numFmtId="0" fontId="27" fillId="11" borderId="28" xfId="0" applyFont="1" applyFill="1" applyBorder="1" applyAlignment="1">
      <alignment horizontal="center" vertical="top"/>
    </xf>
    <xf numFmtId="0" fontId="27" fillId="11" borderId="30" xfId="0" applyFont="1" applyFill="1" applyBorder="1" applyAlignment="1">
      <alignment horizontal="center" vertical="top"/>
    </xf>
    <xf numFmtId="0" fontId="40" fillId="25" borderId="0" xfId="0" applyFont="1" applyFill="1" applyAlignment="1">
      <alignment horizontal="center" vertical="center" wrapText="1"/>
    </xf>
    <xf numFmtId="0" fontId="37" fillId="0" borderId="22" xfId="0" applyFont="1" applyBorder="1" applyAlignment="1">
      <alignment horizontal="center" vertical="top"/>
    </xf>
    <xf numFmtId="0" fontId="37" fillId="0" borderId="0" xfId="0" applyFont="1" applyAlignment="1">
      <alignment horizontal="center" vertical="top"/>
    </xf>
    <xf numFmtId="0" fontId="27" fillId="16" borderId="24" xfId="0" applyFont="1" applyFill="1" applyBorder="1" applyAlignment="1">
      <alignment horizontal="center" vertical="top"/>
    </xf>
    <xf numFmtId="0" fontId="0" fillId="16" borderId="25" xfId="0" applyFill="1" applyBorder="1" applyAlignment="1">
      <alignment horizontal="center" vertical="top"/>
    </xf>
    <xf numFmtId="0" fontId="0" fillId="16" borderId="26" xfId="0" applyFill="1" applyBorder="1" applyAlignment="1">
      <alignment horizontal="center" vertical="top"/>
    </xf>
    <xf numFmtId="0" fontId="0" fillId="16" borderId="27" xfId="0" applyFill="1" applyBorder="1" applyAlignment="1">
      <alignment horizontal="center" vertical="top"/>
    </xf>
    <xf numFmtId="0" fontId="44" fillId="24" borderId="0" xfId="3" applyFont="1" applyFill="1" applyAlignment="1">
      <alignment horizontal="center" vertical="center" wrapText="1"/>
    </xf>
    <xf numFmtId="0" fontId="25" fillId="0" borderId="0" xfId="0" applyFont="1" applyAlignment="1">
      <alignment horizontal="center" vertical="top" wrapText="1"/>
    </xf>
    <xf numFmtId="0" fontId="25" fillId="0" borderId="0" xfId="0" applyFont="1" applyAlignment="1">
      <alignment horizontal="left" vertical="top"/>
    </xf>
    <xf numFmtId="0" fontId="0" fillId="0" borderId="0" xfId="0" applyAlignment="1">
      <alignment horizontal="left" vertical="top"/>
    </xf>
    <xf numFmtId="0" fontId="43" fillId="8" borderId="0" xfId="0" applyFont="1" applyFill="1" applyAlignment="1">
      <alignment horizontal="center" vertical="top" wrapText="1"/>
    </xf>
    <xf numFmtId="0" fontId="43" fillId="26" borderId="0" xfId="0" applyFont="1" applyFill="1" applyAlignment="1">
      <alignment horizontal="center" vertical="center" wrapText="1"/>
    </xf>
    <xf numFmtId="0" fontId="45" fillId="24" borderId="0" xfId="3" applyFont="1" applyFill="1" applyAlignment="1">
      <alignment horizontal="center" vertical="top" wrapText="1"/>
    </xf>
    <xf numFmtId="49" fontId="30" fillId="0" borderId="28" xfId="0" applyNumberFormat="1" applyFont="1" applyBorder="1" applyAlignment="1">
      <alignment horizontal="center" vertical="center" wrapText="1"/>
    </xf>
    <xf numFmtId="49" fontId="30" fillId="0" borderId="29" xfId="0" applyNumberFormat="1" applyFont="1" applyBorder="1" applyAlignment="1">
      <alignment horizontal="center" vertical="center" wrapText="1"/>
    </xf>
    <xf numFmtId="49" fontId="30" fillId="0" borderId="30" xfId="0" applyNumberFormat="1" applyFont="1" applyBorder="1" applyAlignment="1">
      <alignment horizontal="center" vertical="center" wrapText="1"/>
    </xf>
    <xf numFmtId="0" fontId="12" fillId="2" borderId="15" xfId="0" applyFont="1" applyFill="1" applyBorder="1" applyAlignment="1">
      <alignment horizontal="left" vertical="top" wrapText="1" indent="1"/>
    </xf>
    <xf numFmtId="0" fontId="11" fillId="2" borderId="15" xfId="0" applyFont="1" applyFill="1" applyBorder="1" applyAlignment="1">
      <alignment horizontal="left" vertical="top" wrapText="1" indent="1"/>
    </xf>
    <xf numFmtId="0" fontId="3" fillId="0" borderId="17" xfId="0" applyFont="1" applyBorder="1" applyAlignment="1" applyProtection="1">
      <alignment horizontal="left" vertical="top" wrapText="1"/>
      <protection locked="0"/>
      <extLst>
        <ext xmlns:xfpb="http://schemas.microsoft.com/office/spreadsheetml/2022/featurepropertybag" uri="{C7286773-470A-42A8-94C5-96B5CB345126}">
          <xfpb:xfComplement i="0"/>
        </ext>
      </extLst>
    </xf>
    <xf numFmtId="0" fontId="3" fillId="0" borderId="0" xfId="0" applyFont="1" applyAlignment="1" applyProtection="1">
      <alignment horizontal="left" vertical="top" wrapText="1"/>
      <protection locked="0"/>
      <extLst>
        <ext xmlns:xfpb="http://schemas.microsoft.com/office/spreadsheetml/2022/featurepropertybag" uri="{C7286773-470A-42A8-94C5-96B5CB345126}">
          <xfpb:xfComplement i="0"/>
        </ext>
      </extLst>
    </xf>
    <xf numFmtId="0" fontId="3" fillId="0" borderId="16" xfId="0" applyFont="1" applyBorder="1" applyAlignment="1" applyProtection="1">
      <alignment horizontal="left" vertical="top" wrapText="1"/>
      <protection locked="0"/>
      <extLst>
        <ext xmlns:xfpb="http://schemas.microsoft.com/office/spreadsheetml/2022/featurepropertybag" uri="{C7286773-470A-42A8-94C5-96B5CB345126}">
          <xfpb:xfComplement i="0"/>
        </ext>
      </extLst>
    </xf>
    <xf numFmtId="2" fontId="4" fillId="3" borderId="17" xfId="0" applyNumberFormat="1" applyFont="1" applyFill="1" applyBorder="1" applyAlignment="1">
      <alignment vertical="top" shrinkToFit="1"/>
    </xf>
    <xf numFmtId="2" fontId="4" fillId="3" borderId="16" xfId="0" applyNumberFormat="1" applyFont="1" applyFill="1" applyBorder="1" applyAlignment="1">
      <alignment vertical="top" shrinkToFit="1"/>
    </xf>
    <xf numFmtId="0" fontId="3" fillId="3" borderId="17" xfId="0" applyFont="1" applyFill="1" applyBorder="1" applyAlignment="1">
      <alignment horizontal="left" vertical="top" wrapText="1"/>
    </xf>
    <xf numFmtId="0" fontId="3" fillId="3" borderId="0" xfId="0" applyFont="1" applyFill="1" applyAlignment="1">
      <alignment horizontal="left" vertical="top" wrapText="1"/>
    </xf>
    <xf numFmtId="0" fontId="3" fillId="3" borderId="16" xfId="0" applyFont="1" applyFill="1" applyBorder="1" applyAlignment="1">
      <alignment horizontal="left" vertical="top" wrapText="1"/>
    </xf>
    <xf numFmtId="0" fontId="2" fillId="3" borderId="17" xfId="0" applyFont="1" applyFill="1" applyBorder="1" applyAlignment="1">
      <alignment horizontal="left" vertical="top" wrapText="1"/>
    </xf>
    <xf numFmtId="0" fontId="2" fillId="3" borderId="0" xfId="0" applyFont="1" applyFill="1" applyAlignment="1">
      <alignment horizontal="left" vertical="top" wrapText="1"/>
    </xf>
    <xf numFmtId="0" fontId="2" fillId="3" borderId="16" xfId="0" applyFont="1" applyFill="1" applyBorder="1" applyAlignment="1">
      <alignment horizontal="left" vertical="top" wrapText="1"/>
    </xf>
    <xf numFmtId="0" fontId="21" fillId="0" borderId="34" xfId="0" applyFont="1" applyBorder="1" applyAlignment="1">
      <alignment horizontal="left" vertical="center"/>
    </xf>
    <xf numFmtId="0" fontId="21" fillId="0" borderId="35" xfId="0" applyFont="1" applyBorder="1" applyAlignment="1">
      <alignment horizontal="left" vertical="center"/>
    </xf>
    <xf numFmtId="0" fontId="21" fillId="0" borderId="36" xfId="0" applyFont="1" applyBorder="1" applyAlignment="1">
      <alignment horizontal="left" vertical="center"/>
    </xf>
    <xf numFmtId="0" fontId="21" fillId="0" borderId="32" xfId="0" applyFont="1" applyBorder="1" applyAlignment="1">
      <alignment horizontal="center" vertical="top"/>
    </xf>
    <xf numFmtId="0" fontId="21" fillId="0" borderId="33" xfId="0" applyFont="1" applyBorder="1" applyAlignment="1">
      <alignment horizontal="center" vertical="top"/>
    </xf>
    <xf numFmtId="0" fontId="0" fillId="0" borderId="0" xfId="0" applyAlignment="1">
      <alignment horizontal="center" vertical="top"/>
    </xf>
  </cellXfs>
  <cellStyles count="4">
    <cellStyle name="Lien hypertexte" xfId="3" builtinId="8"/>
    <cellStyle name="Milliers" xfId="1" builtinId="3"/>
    <cellStyle name="Normal" xfId="0" builtinId="0"/>
    <cellStyle name="Pourcentage" xfId="2" builtinId="5"/>
  </cellStyles>
  <dxfs count="2">
    <dxf>
      <numFmt numFmtId="30" formatCode="@"/>
    </dxf>
    <dxf>
      <numFmt numFmtId="30" formatCode="@"/>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microsoft.com/office/2017/10/relationships/person" Target="persons/person.xml"/><Relationship Id="rId14" Type="http://schemas.openxmlformats.org/officeDocument/2006/relationships/customXml" Target="../customXml/item3.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2012950</xdr:colOff>
      <xdr:row>63</xdr:row>
      <xdr:rowOff>0</xdr:rowOff>
    </xdr:from>
    <xdr:to>
      <xdr:col>1</xdr:col>
      <xdr:colOff>2165350</xdr:colOff>
      <xdr:row>75</xdr:row>
      <xdr:rowOff>12700</xdr:rowOff>
    </xdr:to>
    <xdr:cxnSp macro="">
      <xdr:nvCxnSpPr>
        <xdr:cNvPr id="6" name="Connecteur droit avec flèche 5">
          <a:extLst>
            <a:ext uri="{FF2B5EF4-FFF2-40B4-BE49-F238E27FC236}">
              <a16:creationId xmlns:a16="http://schemas.microsoft.com/office/drawing/2014/main" id="{DA3C538F-5741-5A6B-166F-DDFBB5FB182E}"/>
            </a:ext>
          </a:extLst>
        </xdr:cNvPr>
        <xdr:cNvCxnSpPr/>
      </xdr:nvCxnSpPr>
      <xdr:spPr>
        <a:xfrm>
          <a:off x="3022600" y="10712450"/>
          <a:ext cx="152400" cy="20256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2082800</xdr:colOff>
      <xdr:row>63</xdr:row>
      <xdr:rowOff>12700</xdr:rowOff>
    </xdr:from>
    <xdr:to>
      <xdr:col>2</xdr:col>
      <xdr:colOff>31750</xdr:colOff>
      <xdr:row>74</xdr:row>
      <xdr:rowOff>133350</xdr:rowOff>
    </xdr:to>
    <xdr:cxnSp macro="">
      <xdr:nvCxnSpPr>
        <xdr:cNvPr id="10" name="Connecteur droit avec flèche 9">
          <a:extLst>
            <a:ext uri="{FF2B5EF4-FFF2-40B4-BE49-F238E27FC236}">
              <a16:creationId xmlns:a16="http://schemas.microsoft.com/office/drawing/2014/main" id="{F54F8E22-AEC0-8FA0-5437-6D2344FD96FA}"/>
            </a:ext>
          </a:extLst>
        </xdr:cNvPr>
        <xdr:cNvCxnSpPr/>
      </xdr:nvCxnSpPr>
      <xdr:spPr>
        <a:xfrm>
          <a:off x="3092450" y="10725150"/>
          <a:ext cx="952500" cy="1968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247650</xdr:colOff>
      <xdr:row>17</xdr:row>
      <xdr:rowOff>0</xdr:rowOff>
    </xdr:from>
    <xdr:to>
      <xdr:col>1</xdr:col>
      <xdr:colOff>539765</xdr:colOff>
      <xdr:row>18</xdr:row>
      <xdr:rowOff>146066</xdr:rowOff>
    </xdr:to>
    <xdr:pic>
      <xdr:nvPicPr>
        <xdr:cNvPr id="5" name="Image 4">
          <a:extLst>
            <a:ext uri="{FF2B5EF4-FFF2-40B4-BE49-F238E27FC236}">
              <a16:creationId xmlns:a16="http://schemas.microsoft.com/office/drawing/2014/main" id="{9C4677B1-07C2-BBF1-A3F1-C47FD9077456}"/>
            </a:ext>
          </a:extLst>
        </xdr:cNvPr>
        <xdr:cNvPicPr>
          <a:picLocks noChangeAspect="1"/>
        </xdr:cNvPicPr>
      </xdr:nvPicPr>
      <xdr:blipFill>
        <a:blip xmlns:r="http://schemas.openxmlformats.org/officeDocument/2006/relationships" r:embed="rId1"/>
        <a:stretch>
          <a:fillRect/>
        </a:stretch>
      </xdr:blipFill>
      <xdr:spPr>
        <a:xfrm>
          <a:off x="1168400" y="2863850"/>
          <a:ext cx="292115" cy="311166"/>
        </a:xfrm>
        <a:prstGeom prst="rect">
          <a:avLst/>
        </a:prstGeom>
      </xdr:spPr>
    </xdr:pic>
    <xdr:clientData/>
  </xdr:twoCellAnchor>
  <xdr:twoCellAnchor editAs="oneCell">
    <xdr:from>
      <xdr:col>1</xdr:col>
      <xdr:colOff>323850</xdr:colOff>
      <xdr:row>18</xdr:row>
      <xdr:rowOff>158750</xdr:rowOff>
    </xdr:from>
    <xdr:to>
      <xdr:col>1</xdr:col>
      <xdr:colOff>1543113</xdr:colOff>
      <xdr:row>21</xdr:row>
      <xdr:rowOff>12718</xdr:rowOff>
    </xdr:to>
    <xdr:pic>
      <xdr:nvPicPr>
        <xdr:cNvPr id="6" name="Image 5">
          <a:extLst>
            <a:ext uri="{FF2B5EF4-FFF2-40B4-BE49-F238E27FC236}">
              <a16:creationId xmlns:a16="http://schemas.microsoft.com/office/drawing/2014/main" id="{1872D10F-B773-8D06-A0EF-F63606E989B0}"/>
            </a:ext>
          </a:extLst>
        </xdr:cNvPr>
        <xdr:cNvPicPr>
          <a:picLocks noChangeAspect="1"/>
        </xdr:cNvPicPr>
      </xdr:nvPicPr>
      <xdr:blipFill>
        <a:blip xmlns:r="http://schemas.openxmlformats.org/officeDocument/2006/relationships" r:embed="rId2"/>
        <a:stretch>
          <a:fillRect/>
        </a:stretch>
      </xdr:blipFill>
      <xdr:spPr>
        <a:xfrm>
          <a:off x="1244600" y="3187700"/>
          <a:ext cx="1219263" cy="349268"/>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71FA6B8-130C-44EE-B91A-29C1E03C1FA2}" name="Tableau1" displayName="Tableau1" ref="A8:B15" totalsRowShown="0">
  <autoFilter ref="A8:B15" xr:uid="{B71FA6B8-130C-44EE-B91A-29C1E03C1FA2}"/>
  <sortState xmlns:xlrd2="http://schemas.microsoft.com/office/spreadsheetml/2017/richdata2" ref="A9:B12">
    <sortCondition ref="A8:A12"/>
  </sortState>
  <tableColumns count="2">
    <tableColumn id="1" xr3:uid="{048499A5-71A4-4FD6-92EF-313B4EC3984D}" name="Code" dataDxfId="1"/>
    <tableColumn id="2" xr3:uid="{97AB189B-2FB2-46AD-80F9-EB9A4FCA19C0}" name="Libellé"/>
  </tableColumns>
  <tableStyleInfo name="TableStyleMedium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B138990-8084-4871-8FAE-D69FAFE22BAC}" name="Tableau3" displayName="Tableau3" ref="D8:E15" totalsRowShown="0">
  <autoFilter ref="D8:E15" xr:uid="{2B138990-8084-4871-8FAE-D69FAFE22BAC}"/>
  <sortState xmlns:xlrd2="http://schemas.microsoft.com/office/spreadsheetml/2017/richdata2" ref="D9:E14">
    <sortCondition ref="D8:D14"/>
  </sortState>
  <tableColumns count="2">
    <tableColumn id="1" xr3:uid="{871D85CB-3CA4-46BD-9027-0495223995DC}" name="Code" dataDxfId="0"/>
    <tableColumn id="2" xr3:uid="{73187039-C154-4F34-888F-BF7B8F84193D}" name="Libellé"/>
  </tableColumns>
  <tableStyleInfo name="TableStyleMedium14"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62752-6A60-4BEB-9D51-00646CC0C681}">
  <sheetPr>
    <tabColor rgb="FF00B050"/>
  </sheetPr>
  <dimension ref="A1:G70"/>
  <sheetViews>
    <sheetView showGridLines="0" tabSelected="1" workbookViewId="0">
      <selection activeCell="C13" sqref="C13"/>
    </sheetView>
  </sheetViews>
  <sheetFormatPr baseColWidth="10" defaultRowHeight="13" x14ac:dyDescent="0.3"/>
  <cols>
    <col min="1" max="1" width="15.8984375" customWidth="1"/>
    <col min="2" max="2" width="47.296875" customWidth="1"/>
    <col min="3" max="3" width="23" customWidth="1"/>
    <col min="4" max="4" width="18" customWidth="1"/>
    <col min="5" max="5" width="17.69921875" customWidth="1"/>
  </cols>
  <sheetData>
    <row r="1" spans="1:7" ht="20" x14ac:dyDescent="0.3">
      <c r="A1" s="240" t="s">
        <v>113</v>
      </c>
      <c r="B1" s="240"/>
      <c r="C1" s="240"/>
    </row>
    <row r="2" spans="1:7" x14ac:dyDescent="0.3">
      <c r="A2" s="241"/>
      <c r="B2" s="77" t="s">
        <v>106</v>
      </c>
      <c r="C2" s="90"/>
    </row>
    <row r="3" spans="1:7" x14ac:dyDescent="0.3">
      <c r="A3" s="242"/>
      <c r="B3" s="77" t="s">
        <v>107</v>
      </c>
      <c r="C3" s="91"/>
    </row>
    <row r="4" spans="1:7" x14ac:dyDescent="0.3">
      <c r="A4" s="242"/>
      <c r="B4" s="77" t="s">
        <v>108</v>
      </c>
      <c r="C4" s="91"/>
    </row>
    <row r="5" spans="1:7" x14ac:dyDescent="0.3">
      <c r="A5" s="242"/>
      <c r="B5" s="77" t="s">
        <v>109</v>
      </c>
      <c r="C5" s="90"/>
    </row>
    <row r="6" spans="1:7" x14ac:dyDescent="0.3">
      <c r="A6" s="242"/>
      <c r="B6" s="77" t="s">
        <v>110</v>
      </c>
      <c r="C6" s="92"/>
    </row>
    <row r="7" spans="1:7" x14ac:dyDescent="0.3">
      <c r="A7" s="242"/>
      <c r="B7" s="77" t="s">
        <v>115</v>
      </c>
      <c r="C7" s="91"/>
    </row>
    <row r="8" spans="1:7" x14ac:dyDescent="0.3">
      <c r="A8" s="242"/>
      <c r="B8" s="77" t="s">
        <v>111</v>
      </c>
      <c r="C8" s="90"/>
      <c r="E8" s="237" t="s">
        <v>170</v>
      </c>
      <c r="F8" s="237"/>
      <c r="G8" s="237"/>
    </row>
    <row r="9" spans="1:7" x14ac:dyDescent="0.3">
      <c r="A9" s="243"/>
      <c r="B9" s="77" t="s">
        <v>112</v>
      </c>
      <c r="C9" s="90"/>
      <c r="E9" s="237"/>
      <c r="F9" s="237"/>
      <c r="G9" s="237"/>
    </row>
    <row r="10" spans="1:7" x14ac:dyDescent="0.3">
      <c r="B10" s="37"/>
      <c r="C10" s="45"/>
      <c r="E10" s="237"/>
      <c r="F10" s="237"/>
      <c r="G10" s="237"/>
    </row>
    <row r="11" spans="1:7" ht="13" customHeight="1" x14ac:dyDescent="0.3">
      <c r="E11" s="237"/>
      <c r="F11" s="237"/>
      <c r="G11" s="237"/>
    </row>
    <row r="12" spans="1:7" ht="20" x14ac:dyDescent="0.3">
      <c r="A12" s="227" t="s">
        <v>88</v>
      </c>
      <c r="B12" s="227"/>
      <c r="C12" s="227"/>
      <c r="E12" s="237"/>
      <c r="F12" s="237"/>
      <c r="G12" s="237"/>
    </row>
    <row r="13" spans="1:7" x14ac:dyDescent="0.3">
      <c r="A13" s="114"/>
      <c r="B13" s="39" t="s">
        <v>48</v>
      </c>
      <c r="C13" s="93"/>
    </row>
    <row r="14" spans="1:7" ht="14" x14ac:dyDescent="0.3">
      <c r="A14" s="114"/>
      <c r="B14" s="40" t="s">
        <v>89</v>
      </c>
      <c r="C14" s="93"/>
      <c r="D14" s="238" t="str">
        <f>IF(C14*C13=0,"","ERREUR INDIQUER INDICE OU FORFAIT")</f>
        <v/>
      </c>
      <c r="E14" s="239"/>
      <c r="F14" s="239"/>
    </row>
    <row r="15" spans="1:7" x14ac:dyDescent="0.3">
      <c r="A15" s="114"/>
      <c r="B15" s="39" t="s">
        <v>49</v>
      </c>
      <c r="C15" s="94"/>
    </row>
    <row r="16" spans="1:7" x14ac:dyDescent="0.3">
      <c r="A16" s="114"/>
      <c r="B16" s="39" t="s">
        <v>54</v>
      </c>
      <c r="C16" s="94"/>
    </row>
    <row r="17" spans="1:6" x14ac:dyDescent="0.3">
      <c r="A17" s="114"/>
      <c r="B17" s="41" t="str">
        <f>IF(C16="Temps Partiel","Quotité temps partiel","")</f>
        <v/>
      </c>
      <c r="C17" s="95"/>
    </row>
    <row r="18" spans="1:6" x14ac:dyDescent="0.3">
      <c r="A18" s="114"/>
      <c r="B18" s="42" t="str">
        <f>IF(C16="Temps Incomplet","Quotité temps incomplet","")</f>
        <v/>
      </c>
      <c r="C18" s="94"/>
    </row>
    <row r="19" spans="1:6" x14ac:dyDescent="0.3">
      <c r="A19" s="114"/>
      <c r="B19" s="39" t="s">
        <v>50</v>
      </c>
      <c r="C19" s="96"/>
    </row>
    <row r="20" spans="1:6" x14ac:dyDescent="0.3">
      <c r="A20" s="114"/>
      <c r="B20" s="40" t="s">
        <v>117</v>
      </c>
      <c r="C20" s="96"/>
    </row>
    <row r="21" spans="1:6" x14ac:dyDescent="0.3">
      <c r="A21" s="114"/>
      <c r="B21" s="40" t="s">
        <v>102</v>
      </c>
      <c r="C21" s="96"/>
    </row>
    <row r="22" spans="1:6" x14ac:dyDescent="0.3">
      <c r="A22" s="115"/>
      <c r="B22" s="39" t="s">
        <v>47</v>
      </c>
      <c r="C22" s="93"/>
    </row>
    <row r="23" spans="1:6" s="112" customFormat="1" x14ac:dyDescent="0.3">
      <c r="C23" s="113"/>
    </row>
    <row r="24" spans="1:6" ht="42" customHeight="1" x14ac:dyDescent="0.3">
      <c r="A24" s="228" t="s">
        <v>137</v>
      </c>
      <c r="B24" s="228"/>
      <c r="C24" s="228"/>
    </row>
    <row r="25" spans="1:6" x14ac:dyDescent="0.3">
      <c r="A25" s="43" t="s">
        <v>132</v>
      </c>
      <c r="B25" s="43" t="s">
        <v>66</v>
      </c>
      <c r="C25" s="43" t="s">
        <v>67</v>
      </c>
      <c r="E25" s="244" t="s">
        <v>159</v>
      </c>
      <c r="F25" s="244"/>
    </row>
    <row r="26" spans="1:6" x14ac:dyDescent="0.3">
      <c r="A26" s="99"/>
      <c r="B26" s="129" t="str">
        <f>IFERROR(VLOOKUP(A26,Tableau1[],2,FALSE),"")</f>
        <v/>
      </c>
      <c r="C26" s="100"/>
      <c r="E26" s="244"/>
      <c r="F26" s="244"/>
    </row>
    <row r="27" spans="1:6" x14ac:dyDescent="0.3">
      <c r="A27" s="99"/>
      <c r="B27" s="129" t="str">
        <f>IFERROR(VLOOKUP(A27,Tableau1[],2,FALSE),"")</f>
        <v/>
      </c>
      <c r="C27" s="100"/>
      <c r="E27" s="244"/>
      <c r="F27" s="244"/>
    </row>
    <row r="28" spans="1:6" x14ac:dyDescent="0.3">
      <c r="A28" s="99"/>
      <c r="B28" s="129" t="str">
        <f>IFERROR(VLOOKUP(A28,Tableau1[],2,FALSE),"")</f>
        <v/>
      </c>
      <c r="C28" s="101"/>
      <c r="E28" s="244"/>
      <c r="F28" s="244"/>
    </row>
    <row r="29" spans="1:6" x14ac:dyDescent="0.3">
      <c r="A29" s="230" t="s">
        <v>90</v>
      </c>
      <c r="B29" s="230"/>
      <c r="C29" s="62">
        <f>SUM(C26:C28)</f>
        <v>0</v>
      </c>
      <c r="E29" s="244"/>
      <c r="F29" s="244"/>
    </row>
    <row r="30" spans="1:6" x14ac:dyDescent="0.3">
      <c r="E30" s="244"/>
      <c r="F30" s="244"/>
    </row>
    <row r="31" spans="1:6" ht="20" x14ac:dyDescent="0.3">
      <c r="A31" s="226" t="s">
        <v>138</v>
      </c>
      <c r="B31" s="226"/>
      <c r="C31" s="226"/>
      <c r="E31" s="244"/>
      <c r="F31" s="244"/>
    </row>
    <row r="32" spans="1:6" x14ac:dyDescent="0.3">
      <c r="A32" s="38" t="s">
        <v>132</v>
      </c>
      <c r="B32" s="38" t="s">
        <v>66</v>
      </c>
      <c r="C32" s="38" t="s">
        <v>67</v>
      </c>
      <c r="E32" s="244"/>
      <c r="F32" s="244"/>
    </row>
    <row r="33" spans="1:7" x14ac:dyDescent="0.3">
      <c r="A33" s="102"/>
      <c r="B33" s="128" t="str">
        <f>IFERROR(VLOOKUP(A33,Tableau3[],2,FALSE),"")</f>
        <v/>
      </c>
      <c r="C33" s="97"/>
      <c r="E33" s="244"/>
      <c r="F33" s="244"/>
    </row>
    <row r="34" spans="1:7" x14ac:dyDescent="0.3">
      <c r="A34" s="102"/>
      <c r="B34" s="128" t="str">
        <f>IFERROR(VLOOKUP(A34,Tableau3[],2,FALSE),"")</f>
        <v/>
      </c>
      <c r="C34" s="98"/>
      <c r="E34" s="244"/>
      <c r="F34" s="244"/>
    </row>
    <row r="35" spans="1:7" x14ac:dyDescent="0.3">
      <c r="A35" s="102"/>
      <c r="B35" s="128" t="str">
        <f>IFERROR(VLOOKUP(A35,Tableau3[],2,FALSE),"")</f>
        <v/>
      </c>
      <c r="C35" s="97"/>
      <c r="E35" s="244"/>
      <c r="F35" s="244"/>
    </row>
    <row r="36" spans="1:7" x14ac:dyDescent="0.3">
      <c r="A36" s="102"/>
      <c r="B36" s="128" t="str">
        <f>IFERROR(VLOOKUP(A36,Tableau3[],2,FALSE),"")</f>
        <v/>
      </c>
      <c r="C36" s="98"/>
    </row>
    <row r="37" spans="1:7" x14ac:dyDescent="0.3">
      <c r="A37" s="102"/>
      <c r="B37" s="128" t="str">
        <f>IFERROR(VLOOKUP(A37,Tableau3[],2,FALSE),"")</f>
        <v/>
      </c>
      <c r="C37" s="98"/>
    </row>
    <row r="38" spans="1:7" x14ac:dyDescent="0.3">
      <c r="A38" s="229" t="s">
        <v>90</v>
      </c>
      <c r="B38" s="229"/>
      <c r="C38" s="44">
        <f>SUM(C33:C37)</f>
        <v>0</v>
      </c>
    </row>
    <row r="40" spans="1:7" x14ac:dyDescent="0.3">
      <c r="C40" s="61"/>
    </row>
    <row r="41" spans="1:7" ht="20" x14ac:dyDescent="0.3">
      <c r="A41" s="235" t="s">
        <v>91</v>
      </c>
      <c r="B41" s="236"/>
      <c r="C41" s="135" t="s">
        <v>171</v>
      </c>
      <c r="E41" s="237" t="s">
        <v>170</v>
      </c>
      <c r="F41" s="237"/>
      <c r="G41" s="237"/>
    </row>
    <row r="42" spans="1:7" x14ac:dyDescent="0.3">
      <c r="A42" s="58" t="s">
        <v>93</v>
      </c>
      <c r="B42" s="58" t="s">
        <v>133</v>
      </c>
      <c r="C42" s="103"/>
      <c r="E42" s="237"/>
      <c r="F42" s="237"/>
      <c r="G42" s="237"/>
    </row>
    <row r="43" spans="1:7" x14ac:dyDescent="0.3">
      <c r="A43" s="59" t="s">
        <v>94</v>
      </c>
      <c r="B43" s="58" t="s">
        <v>92</v>
      </c>
      <c r="C43" s="134"/>
      <c r="E43" s="237"/>
      <c r="F43" s="237"/>
      <c r="G43" s="237"/>
    </row>
    <row r="44" spans="1:7" x14ac:dyDescent="0.3">
      <c r="A44" s="59" t="s">
        <v>95</v>
      </c>
      <c r="B44" s="58" t="s">
        <v>97</v>
      </c>
      <c r="C44" s="104"/>
      <c r="E44" s="237"/>
      <c r="F44" s="237"/>
      <c r="G44" s="237"/>
    </row>
    <row r="45" spans="1:7" x14ac:dyDescent="0.3">
      <c r="A45" s="59" t="s">
        <v>96</v>
      </c>
      <c r="B45" s="58" t="s">
        <v>98</v>
      </c>
      <c r="C45" s="104"/>
      <c r="E45" s="237"/>
      <c r="F45" s="237"/>
      <c r="G45" s="237"/>
    </row>
    <row r="46" spans="1:7" x14ac:dyDescent="0.3">
      <c r="A46" s="60">
        <v>2483</v>
      </c>
      <c r="B46" s="58" t="s">
        <v>99</v>
      </c>
      <c r="C46" s="103"/>
    </row>
    <row r="47" spans="1:7" x14ac:dyDescent="0.3">
      <c r="A47" s="60">
        <v>2510</v>
      </c>
      <c r="B47" s="58" t="s">
        <v>100</v>
      </c>
      <c r="C47" s="103"/>
    </row>
    <row r="48" spans="1:7" x14ac:dyDescent="0.3">
      <c r="A48" s="225" t="s">
        <v>101</v>
      </c>
      <c r="B48" s="225"/>
      <c r="C48" s="63">
        <f>IF(C41="OUI",C42/2+C46+C47,0)</f>
        <v>0</v>
      </c>
    </row>
    <row r="49" spans="1:3" x14ac:dyDescent="0.3">
      <c r="A49" s="64"/>
      <c r="B49" s="64"/>
      <c r="C49" s="65"/>
    </row>
    <row r="50" spans="1:3" ht="20" x14ac:dyDescent="0.3">
      <c r="A50" s="223" t="s">
        <v>114</v>
      </c>
      <c r="B50" s="223"/>
      <c r="C50" s="223"/>
    </row>
    <row r="51" spans="1:3" ht="14" x14ac:dyDescent="0.3">
      <c r="A51" s="78"/>
      <c r="B51" s="79" t="s">
        <v>84</v>
      </c>
      <c r="C51" s="105"/>
    </row>
    <row r="53" spans="1:3" ht="15" x14ac:dyDescent="0.3">
      <c r="A53" s="232" t="s">
        <v>168</v>
      </c>
      <c r="B53" s="232"/>
      <c r="C53" s="232"/>
    </row>
    <row r="54" spans="1:3" ht="20.149999999999999" customHeight="1" x14ac:dyDescent="0.3">
      <c r="A54" s="231" t="s">
        <v>164</v>
      </c>
      <c r="B54" s="132" t="s">
        <v>166</v>
      </c>
      <c r="C54" s="133"/>
    </row>
    <row r="55" spans="1:3" ht="20.149999999999999" customHeight="1" x14ac:dyDescent="0.3">
      <c r="A55" s="231"/>
      <c r="B55" s="132" t="s">
        <v>165</v>
      </c>
      <c r="C55" s="131"/>
    </row>
    <row r="56" spans="1:3" ht="20.149999999999999" customHeight="1" x14ac:dyDescent="0.3">
      <c r="A56" s="233" t="s">
        <v>169</v>
      </c>
      <c r="B56" s="234"/>
      <c r="C56" s="133">
        <v>0</v>
      </c>
    </row>
    <row r="57" spans="1:3" ht="14.15" customHeight="1" x14ac:dyDescent="0.3">
      <c r="A57" s="221" t="s">
        <v>167</v>
      </c>
      <c r="B57" s="221"/>
      <c r="C57" s="222">
        <v>0</v>
      </c>
    </row>
    <row r="58" spans="1:3" x14ac:dyDescent="0.3">
      <c r="A58" s="221"/>
      <c r="B58" s="221"/>
      <c r="C58" s="222"/>
    </row>
    <row r="59" spans="1:3" ht="20.149999999999999" customHeight="1" x14ac:dyDescent="0.3">
      <c r="A59" s="224" t="s">
        <v>116</v>
      </c>
      <c r="B59" s="224"/>
      <c r="C59" s="130"/>
    </row>
    <row r="60" spans="1:3" x14ac:dyDescent="0.3">
      <c r="B60" s="106"/>
    </row>
    <row r="62" spans="1:3" s="109" customFormat="1" ht="15.5" customHeight="1" x14ac:dyDescent="0.3">
      <c r="A62" s="220" t="s">
        <v>130</v>
      </c>
      <c r="B62" s="220"/>
      <c r="C62" s="220"/>
    </row>
    <row r="63" spans="1:3" x14ac:dyDescent="0.3">
      <c r="A63" s="220"/>
      <c r="B63" s="220"/>
      <c r="C63" s="220"/>
    </row>
    <row r="66" spans="1:4" ht="15.5" x14ac:dyDescent="0.3">
      <c r="A66" s="219" t="s">
        <v>134</v>
      </c>
      <c r="B66" s="219"/>
    </row>
    <row r="68" spans="1:4" ht="13" customHeight="1" x14ac:dyDescent="0.3">
      <c r="A68" s="153" t="s">
        <v>131</v>
      </c>
      <c r="B68" s="153"/>
      <c r="C68" s="112"/>
      <c r="D68" s="116"/>
    </row>
    <row r="69" spans="1:4" ht="13" customHeight="1" x14ac:dyDescent="0.3">
      <c r="A69" s="153"/>
      <c r="B69" s="153"/>
      <c r="C69" s="116"/>
      <c r="D69" s="116"/>
    </row>
    <row r="70" spans="1:4" ht="13" customHeight="1" x14ac:dyDescent="0.3">
      <c r="A70" s="153"/>
      <c r="B70" s="153"/>
      <c r="C70" s="116"/>
      <c r="D70" s="116"/>
    </row>
  </sheetData>
  <sheetProtection algorithmName="SHA-512" hashValue="W2dO+ViFqahZWrtP8hUUV0TECAOoKsbjq/rOinhzoVPvM8kog7KQ2PuIfCuPeMl6xHs1QkrYXDGgMxT7rcpViQ==" saltValue="SRdp3ka3qxGEjbB+Ymn8bw==" spinCount="100000" sheet="1" objects="1" scenarios="1"/>
  <mergeCells count="23">
    <mergeCell ref="E8:G12"/>
    <mergeCell ref="E41:G45"/>
    <mergeCell ref="D14:F14"/>
    <mergeCell ref="A1:C1"/>
    <mergeCell ref="A2:A9"/>
    <mergeCell ref="E25:F35"/>
    <mergeCell ref="A50:C50"/>
    <mergeCell ref="A59:B59"/>
    <mergeCell ref="A48:B48"/>
    <mergeCell ref="A31:C31"/>
    <mergeCell ref="A12:C12"/>
    <mergeCell ref="A24:C24"/>
    <mergeCell ref="A38:B38"/>
    <mergeCell ref="A29:B29"/>
    <mergeCell ref="A54:A55"/>
    <mergeCell ref="A53:C53"/>
    <mergeCell ref="A56:B56"/>
    <mergeCell ref="A41:B41"/>
    <mergeCell ref="A68:B70"/>
    <mergeCell ref="A66:B66"/>
    <mergeCell ref="A62:C63"/>
    <mergeCell ref="A57:B58"/>
    <mergeCell ref="C57:C58"/>
  </mergeCells>
  <phoneticPr fontId="42" type="noConversion"/>
  <dataValidations count="11">
    <dataValidation type="list" allowBlank="1" showInputMessage="1" showErrorMessage="1" sqref="C17" xr:uid="{5A421E46-37EF-4D1C-BF4B-040B90B3E2DD}">
      <formula1>"32/35,6/7,70%,60%,50%"</formula1>
    </dataValidation>
    <dataValidation type="list" allowBlank="1" showInputMessage="1" showErrorMessage="1" sqref="C16" xr:uid="{CAA321D6-3270-441B-98CA-F06979B1AB57}">
      <formula1>"100%,Temps Partiel,Temps Incomplet"</formula1>
    </dataValidation>
    <dataValidation type="list" allowBlank="1" showInputMessage="1" showErrorMessage="1" sqref="C15" xr:uid="{C3277E31-7D2D-4601-BF1F-ABBA208DD416}">
      <formula1>"0%,1%,3%"</formula1>
    </dataValidation>
    <dataValidation type="list" allowBlank="1" showInputMessage="1" showErrorMessage="1" promptTitle="A saisir" sqref="C18" xr:uid="{C75A0FB6-813B-4B06-B279-1C438BC8D9A0}">
      <formula1>"90%,80%,70%,60%,50%"</formula1>
    </dataValidation>
    <dataValidation type="list" showInputMessage="1" showErrorMessage="1" sqref="C21" xr:uid="{D71E0F11-AAA1-4B20-9244-33B62CDEAB87}">
      <formula1>"A,B,C,NON"</formula1>
    </dataValidation>
    <dataValidation type="list" allowBlank="1" showInputMessage="1" showErrorMessage="1" sqref="C20" xr:uid="{BC986E19-07D6-440D-B9ED-BB7E47F13910}">
      <formula1>"Fonctionnaire,Contractuel SS 10,Contractuel SS 12"</formula1>
    </dataValidation>
    <dataValidation type="list" allowBlank="1" showInputMessage="1" showErrorMessage="1" sqref="C57" xr:uid="{316B1E86-9C3A-4EE0-8721-2323444B6D66}">
      <formula1>"0%,4%"</formula1>
    </dataValidation>
    <dataValidation type="list" allowBlank="1" showInputMessage="1" showErrorMessage="1" sqref="A26:A28" xr:uid="{9B89FB5D-AE3F-4098-BA3B-CDE928039418}">
      <formula1>CODE1</formula1>
    </dataValidation>
    <dataValidation type="list" allowBlank="1" showInputMessage="1" showErrorMessage="1" sqref="A33:A37" xr:uid="{B08732EB-F458-4628-9D08-78CE1B87D457}">
      <formula1>CODE2</formula1>
    </dataValidation>
    <dataValidation type="list" allowBlank="1" showInputMessage="1" showErrorMessage="1" sqref="C55" xr:uid="{8D389CD0-2BF6-47CC-BAD5-A088C69E08D3}">
      <mc:AlternateContent xmlns:x12ac="http://schemas.microsoft.com/office/spreadsheetml/2011/1/ac" xmlns:mc="http://schemas.openxmlformats.org/markup-compatibility/2006">
        <mc:Choice Requires="x12ac">
          <x12ac:list>"0,50","0,60"</x12ac:list>
        </mc:Choice>
        <mc:Fallback>
          <formula1>"0,50,0,60"</formula1>
        </mc:Fallback>
      </mc:AlternateContent>
    </dataValidation>
    <dataValidation type="list" allowBlank="1" showInputMessage="1" showErrorMessage="1" sqref="C41" xr:uid="{3E37F2F5-01E9-457F-B5D6-726EA81EBEC5}">
      <formula1>"OUI,NON"</formula1>
    </dataValidation>
  </dataValidations>
  <hyperlinks>
    <hyperlink ref="E25:F35" location="'Liste Indemnités'!A1" display="AJOUTER UNE INDEMNITE" xr:uid="{7042B9E9-910C-4EE9-A2FB-3DD9BA5C34EA}"/>
  </hyperlink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911ED-ADFD-4AD8-9AF5-DF9156EC9ED1}">
  <sheetPr>
    <tabColor theme="5" tint="0.59999389629810485"/>
  </sheetPr>
  <dimension ref="A3:H21"/>
  <sheetViews>
    <sheetView showGridLines="0" topLeftCell="C1" workbookViewId="0">
      <selection activeCell="L6" sqref="L6"/>
    </sheetView>
  </sheetViews>
  <sheetFormatPr baseColWidth="10" defaultRowHeight="13" x14ac:dyDescent="0.3"/>
  <cols>
    <col min="1" max="1" width="14.5" customWidth="1"/>
    <col min="2" max="2" width="44" customWidth="1"/>
    <col min="4" max="4" width="11.19921875" style="126"/>
    <col min="5" max="5" width="64.8984375" customWidth="1"/>
    <col min="7" max="7" width="12.69921875" customWidth="1"/>
  </cols>
  <sheetData>
    <row r="3" spans="1:8" ht="13" customHeight="1" x14ac:dyDescent="0.3">
      <c r="A3" s="248" t="s">
        <v>153</v>
      </c>
      <c r="B3" s="248"/>
      <c r="D3" s="249" t="s">
        <v>154</v>
      </c>
      <c r="E3" s="249"/>
    </row>
    <row r="4" spans="1:8" ht="13" customHeight="1" x14ac:dyDescent="0.3">
      <c r="A4" s="248"/>
      <c r="B4" s="248"/>
      <c r="D4" s="249"/>
      <c r="E4" s="249"/>
    </row>
    <row r="5" spans="1:8" ht="17.5" customHeight="1" x14ac:dyDescent="0.3">
      <c r="A5" s="248"/>
      <c r="B5" s="248"/>
      <c r="D5" s="249"/>
      <c r="E5" s="249"/>
    </row>
    <row r="6" spans="1:8" x14ac:dyDescent="0.3">
      <c r="A6" s="248"/>
      <c r="B6" s="248"/>
      <c r="D6" s="249"/>
      <c r="E6" s="249"/>
      <c r="G6" s="250" t="s">
        <v>160</v>
      </c>
      <c r="H6" s="250"/>
    </row>
    <row r="7" spans="1:8" x14ac:dyDescent="0.3">
      <c r="G7" s="250"/>
      <c r="H7" s="250"/>
    </row>
    <row r="8" spans="1:8" x14ac:dyDescent="0.3">
      <c r="A8" s="125" t="s">
        <v>139</v>
      </c>
      <c r="B8" s="125" t="s">
        <v>66</v>
      </c>
      <c r="D8" s="127" t="s">
        <v>139</v>
      </c>
      <c r="E8" s="125" t="s">
        <v>66</v>
      </c>
      <c r="G8" s="250"/>
      <c r="H8" s="250"/>
    </row>
    <row r="9" spans="1:8" x14ac:dyDescent="0.3">
      <c r="A9" s="127" t="s">
        <v>158</v>
      </c>
      <c r="B9" s="125" t="s">
        <v>157</v>
      </c>
      <c r="D9" s="127" t="s">
        <v>143</v>
      </c>
      <c r="E9" s="125" t="s">
        <v>144</v>
      </c>
      <c r="G9" s="250"/>
      <c r="H9" s="250"/>
    </row>
    <row r="10" spans="1:8" x14ac:dyDescent="0.3">
      <c r="A10" s="127" t="s">
        <v>140</v>
      </c>
      <c r="B10" s="125" t="s">
        <v>157</v>
      </c>
      <c r="D10" s="45" t="s">
        <v>147</v>
      </c>
      <c r="E10" s="125" t="s">
        <v>148</v>
      </c>
      <c r="G10" s="250"/>
      <c r="H10" s="250"/>
    </row>
    <row r="11" spans="1:8" x14ac:dyDescent="0.3">
      <c r="A11" s="127" t="s">
        <v>142</v>
      </c>
      <c r="B11" s="125" t="s">
        <v>152</v>
      </c>
      <c r="D11" s="45" t="s">
        <v>145</v>
      </c>
      <c r="E11" s="125" t="s">
        <v>146</v>
      </c>
      <c r="G11" s="250"/>
      <c r="H11" s="250"/>
    </row>
    <row r="12" spans="1:8" x14ac:dyDescent="0.3">
      <c r="A12" s="127" t="s">
        <v>141</v>
      </c>
      <c r="B12" s="125" t="s">
        <v>155</v>
      </c>
      <c r="D12" s="45" t="s">
        <v>149</v>
      </c>
      <c r="E12" s="125" t="s">
        <v>150</v>
      </c>
      <c r="G12" s="250"/>
      <c r="H12" s="250"/>
    </row>
    <row r="13" spans="1:8" x14ac:dyDescent="0.3">
      <c r="A13" s="45"/>
      <c r="D13" s="45" t="s">
        <v>161</v>
      </c>
      <c r="E13" s="125" t="s">
        <v>162</v>
      </c>
    </row>
    <row r="14" spans="1:8" x14ac:dyDescent="0.3">
      <c r="A14" s="126"/>
      <c r="D14" s="45" t="s">
        <v>163</v>
      </c>
      <c r="E14" s="125" t="s">
        <v>162</v>
      </c>
    </row>
    <row r="15" spans="1:8" x14ac:dyDescent="0.3">
      <c r="A15" s="126"/>
      <c r="D15" s="45"/>
      <c r="E15" s="125"/>
    </row>
    <row r="16" spans="1:8" x14ac:dyDescent="0.3">
      <c r="A16" s="245" t="s">
        <v>156</v>
      </c>
      <c r="B16" s="245"/>
      <c r="G16" s="37"/>
    </row>
    <row r="17" spans="1:2" x14ac:dyDescent="0.3">
      <c r="A17" s="245"/>
      <c r="B17" s="245"/>
    </row>
    <row r="18" spans="1:2" x14ac:dyDescent="0.3">
      <c r="A18" s="245"/>
      <c r="B18" s="245"/>
    </row>
    <row r="19" spans="1:2" x14ac:dyDescent="0.3">
      <c r="A19" s="245"/>
      <c r="B19" s="245"/>
    </row>
    <row r="20" spans="1:2" x14ac:dyDescent="0.3">
      <c r="A20" s="246" t="s">
        <v>151</v>
      </c>
      <c r="B20" s="247"/>
    </row>
    <row r="21" spans="1:2" x14ac:dyDescent="0.3">
      <c r="A21" s="247"/>
      <c r="B21" s="247"/>
    </row>
  </sheetData>
  <mergeCells count="5">
    <mergeCell ref="A16:B19"/>
    <mergeCell ref="A20:B21"/>
    <mergeCell ref="A3:B6"/>
    <mergeCell ref="D3:E6"/>
    <mergeCell ref="G6:H12"/>
  </mergeCells>
  <hyperlinks>
    <hyperlink ref="G6:H12" location="Données!A1" display="RETOURNER A LA SAISIE DE DONNEES" xr:uid="{14A32261-31F1-4283-94D9-6B48A3F5A813}"/>
  </hyperlinks>
  <pageMargins left="0.7" right="0.7" top="0.75" bottom="0.75" header="0.3" footer="0.3"/>
  <drawing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AE063-F548-450D-A9F7-F0DF7D69DCD2}">
  <sheetPr filterMode="1">
    <tabColor rgb="FF0070C0"/>
  </sheetPr>
  <dimension ref="A1:R62"/>
  <sheetViews>
    <sheetView showGridLines="0" workbookViewId="0">
      <selection activeCell="O28" sqref="O28:R30"/>
    </sheetView>
  </sheetViews>
  <sheetFormatPr baseColWidth="10" defaultColWidth="9.296875" defaultRowHeight="13" x14ac:dyDescent="0.3"/>
  <cols>
    <col min="1" max="1" width="7.796875" style="5" customWidth="1"/>
    <col min="2" max="2" width="21.296875" style="5" customWidth="1"/>
    <col min="3" max="3" width="4.19921875" style="5" customWidth="1"/>
    <col min="4" max="4" width="10.3984375" style="5" customWidth="1"/>
    <col min="5" max="5" width="0.5" style="5" customWidth="1"/>
    <col min="6" max="6" width="20.796875" style="5" customWidth="1"/>
    <col min="7" max="7" width="5.296875" style="5" customWidth="1"/>
    <col min="8" max="8" width="5.796875" style="5" customWidth="1"/>
    <col min="9" max="9" width="5" style="5" customWidth="1"/>
    <col min="10" max="10" width="3" style="5" customWidth="1"/>
    <col min="11" max="11" width="8.296875" style="5" customWidth="1"/>
    <col min="12" max="12" width="13.19921875" style="5" customWidth="1"/>
    <col min="13" max="16384" width="9.296875" style="5"/>
  </cols>
  <sheetData>
    <row r="1" spans="1:14" ht="11.25" customHeight="1" x14ac:dyDescent="0.3">
      <c r="A1" s="198"/>
      <c r="B1" s="5" t="s">
        <v>15</v>
      </c>
      <c r="E1" s="10" t="s">
        <v>13</v>
      </c>
      <c r="F1" s="199" t="s">
        <v>13</v>
      </c>
      <c r="G1" s="199"/>
      <c r="H1" s="199"/>
      <c r="I1" s="200"/>
      <c r="J1" s="200"/>
      <c r="K1" s="201"/>
      <c r="L1" s="202"/>
    </row>
    <row r="2" spans="1:14" ht="11.25" customHeight="1" x14ac:dyDescent="0.3">
      <c r="A2" s="198"/>
      <c r="B2" s="5" t="s">
        <v>46</v>
      </c>
      <c r="E2" s="10"/>
      <c r="F2" s="199"/>
      <c r="G2" s="199"/>
      <c r="H2" s="199"/>
    </row>
    <row r="3" spans="1:14" ht="11.25" customHeight="1" x14ac:dyDescent="0.3">
      <c r="A3" s="198"/>
      <c r="B3" s="70">
        <f>Données!C9</f>
        <v>0</v>
      </c>
      <c r="F3" s="69" t="s">
        <v>14</v>
      </c>
      <c r="G3" s="203">
        <f>Données!C2</f>
        <v>0</v>
      </c>
      <c r="H3" s="204"/>
      <c r="I3" s="204"/>
      <c r="J3" s="204"/>
      <c r="K3" s="205"/>
      <c r="L3" s="7"/>
    </row>
    <row r="4" spans="1:14" ht="5.25" customHeight="1" x14ac:dyDescent="0.3">
      <c r="A4" s="4"/>
      <c r="F4" s="10"/>
      <c r="G4" s="9"/>
      <c r="H4" s="9"/>
      <c r="I4" s="6"/>
      <c r="J4" s="6"/>
      <c r="K4" s="6"/>
      <c r="L4" s="8"/>
    </row>
    <row r="5" spans="1:14" ht="16.5" customHeight="1" x14ac:dyDescent="0.3">
      <c r="A5" s="206" t="s">
        <v>12</v>
      </c>
      <c r="B5" s="206"/>
      <c r="C5" s="206"/>
      <c r="D5" s="207"/>
      <c r="F5" s="206" t="s">
        <v>11</v>
      </c>
      <c r="G5" s="206"/>
      <c r="H5" s="206"/>
      <c r="I5" s="206"/>
      <c r="J5" s="206"/>
      <c r="K5" s="207"/>
      <c r="L5" s="11" t="s">
        <v>10</v>
      </c>
    </row>
    <row r="6" spans="1:14" ht="16.5" customHeight="1" x14ac:dyDescent="0.3">
      <c r="A6" s="210" t="s">
        <v>136</v>
      </c>
      <c r="B6" s="210"/>
      <c r="C6" s="210"/>
      <c r="D6" s="210"/>
      <c r="E6" s="210"/>
      <c r="F6" s="210"/>
      <c r="G6" s="210"/>
      <c r="H6" s="210"/>
      <c r="I6" s="210"/>
      <c r="J6" s="210"/>
      <c r="K6" s="210"/>
      <c r="L6" s="210"/>
    </row>
    <row r="7" spans="1:14" ht="9" customHeight="1" x14ac:dyDescent="0.3">
      <c r="A7" s="192" t="s">
        <v>16</v>
      </c>
      <c r="B7" s="192"/>
      <c r="C7" s="192"/>
      <c r="D7" s="192"/>
      <c r="E7" s="12"/>
      <c r="F7" s="159" t="s">
        <v>17</v>
      </c>
      <c r="G7" s="193" t="s">
        <v>9</v>
      </c>
      <c r="H7" s="13"/>
      <c r="I7" s="194" t="s">
        <v>18</v>
      </c>
      <c r="J7" s="195"/>
      <c r="K7" s="14" t="s">
        <v>19</v>
      </c>
      <c r="L7" s="15"/>
    </row>
    <row r="8" spans="1:14" ht="9.25" customHeight="1" x14ac:dyDescent="0.3">
      <c r="A8" s="16" t="s">
        <v>20</v>
      </c>
      <c r="B8" s="196"/>
      <c r="C8" s="197"/>
      <c r="D8" s="17" t="s">
        <v>21</v>
      </c>
      <c r="E8" s="18"/>
      <c r="F8" s="159"/>
      <c r="G8" s="193"/>
      <c r="H8" s="19" t="s">
        <v>22</v>
      </c>
      <c r="I8" s="208" t="s">
        <v>23</v>
      </c>
      <c r="J8" s="209"/>
      <c r="K8" s="19" t="s">
        <v>24</v>
      </c>
      <c r="L8" s="20" t="s">
        <v>25</v>
      </c>
    </row>
    <row r="9" spans="1:14" ht="15.25" customHeight="1" x14ac:dyDescent="0.3">
      <c r="A9" s="21">
        <f>Données!C6</f>
        <v>0</v>
      </c>
      <c r="B9" s="47">
        <f>Données!C5</f>
        <v>0</v>
      </c>
      <c r="C9" s="22"/>
      <c r="D9" s="23"/>
      <c r="E9" s="24"/>
      <c r="F9" s="25">
        <f>Données!C7</f>
        <v>0</v>
      </c>
      <c r="G9" s="26">
        <f>Données!C22</f>
        <v>0</v>
      </c>
      <c r="H9" s="26">
        <f>Données!C8</f>
        <v>0</v>
      </c>
      <c r="I9" s="213">
        <f>Données!C13</f>
        <v>0</v>
      </c>
      <c r="J9" s="214"/>
      <c r="K9" s="26">
        <f>Données!C19</f>
        <v>0</v>
      </c>
      <c r="L9" s="89">
        <f>Valeurs!F1</f>
        <v>1</v>
      </c>
    </row>
    <row r="10" spans="1:14" ht="17.5" customHeight="1" x14ac:dyDescent="0.3">
      <c r="A10" s="215" t="s">
        <v>128</v>
      </c>
      <c r="B10" s="216"/>
      <c r="C10" s="216"/>
      <c r="D10" s="216"/>
      <c r="E10" s="216"/>
      <c r="F10" s="216"/>
      <c r="G10" s="216"/>
      <c r="H10" s="216"/>
      <c r="I10" s="216"/>
      <c r="J10" s="216"/>
      <c r="K10" s="216"/>
      <c r="L10" s="216"/>
    </row>
    <row r="11" spans="1:14" s="27" customFormat="1" ht="11.5" customHeight="1" x14ac:dyDescent="0.3">
      <c r="A11" s="50">
        <v>101000</v>
      </c>
      <c r="B11" s="146" t="s">
        <v>29</v>
      </c>
      <c r="C11" s="147"/>
      <c r="D11" s="147"/>
      <c r="E11" s="147"/>
      <c r="F11" s="147"/>
      <c r="G11" s="148"/>
      <c r="H11" s="144">
        <f>I9*Valeurs!C2*Valeurs!F1</f>
        <v>0</v>
      </c>
      <c r="I11" s="145"/>
      <c r="J11" s="139"/>
      <c r="K11" s="140"/>
      <c r="L11" s="117"/>
    </row>
    <row r="12" spans="1:14" s="27" customFormat="1" ht="11.5" customHeight="1" x14ac:dyDescent="0.3">
      <c r="A12" s="50">
        <v>101050</v>
      </c>
      <c r="B12" s="136" t="s">
        <v>68</v>
      </c>
      <c r="C12" s="137"/>
      <c r="D12" s="137"/>
      <c r="E12" s="137"/>
      <c r="F12" s="137"/>
      <c r="G12" s="138"/>
      <c r="H12" s="175"/>
      <c r="I12" s="176"/>
      <c r="J12" s="217">
        <f>H11*Valeurs!C8</f>
        <v>0</v>
      </c>
      <c r="K12" s="218"/>
      <c r="L12" s="117"/>
      <c r="N12" s="106"/>
    </row>
    <row r="13" spans="1:14" s="27" customFormat="1" ht="12.75" hidden="1" customHeight="1" x14ac:dyDescent="0.3">
      <c r="A13" s="50" t="str">
        <f>IF(Données!C19=0,"",101053)</f>
        <v/>
      </c>
      <c r="B13" s="211" t="str">
        <f>IF(Données!C19=0,"","RETENUE PC NBI")</f>
        <v/>
      </c>
      <c r="C13" s="211"/>
      <c r="D13" s="211"/>
      <c r="E13" s="211"/>
      <c r="F13" s="211"/>
      <c r="G13" s="212"/>
      <c r="H13" s="175"/>
      <c r="I13" s="176"/>
      <c r="J13" s="217" t="str">
        <f>IF(Données!C19=0,"",H14*Valeurs!C8)</f>
        <v/>
      </c>
      <c r="K13" s="218"/>
      <c r="L13" s="31"/>
    </row>
    <row r="14" spans="1:14" s="27" customFormat="1" ht="12.75" hidden="1" customHeight="1" x14ac:dyDescent="0.3">
      <c r="A14" s="50" t="str">
        <f>IF(Données!C19=0,"",101070)</f>
        <v/>
      </c>
      <c r="B14" s="211" t="str">
        <f>IF(Données!C19=0,"","TRAITEMENT BRUT NBI")</f>
        <v/>
      </c>
      <c r="C14" s="211"/>
      <c r="D14" s="211"/>
      <c r="E14" s="211"/>
      <c r="F14" s="211"/>
      <c r="G14" s="212"/>
      <c r="H14" s="144">
        <f>IF(Données!C19=0,0,Données!C19*Valeurs!C2*Valeurs!F1)</f>
        <v>0</v>
      </c>
      <c r="I14" s="145"/>
      <c r="J14" s="151"/>
      <c r="K14" s="152"/>
      <c r="L14" s="31"/>
    </row>
    <row r="15" spans="1:14" s="27" customFormat="1" ht="12.75" hidden="1" customHeight="1" x14ac:dyDescent="0.3">
      <c r="A15" s="50" t="str">
        <f>IF(Données!C15=0,"",102000)</f>
        <v/>
      </c>
      <c r="B15" s="136" t="str">
        <f>IF(Données!C15=0,"","INDEMNITE DE RESIDENCE")</f>
        <v/>
      </c>
      <c r="C15" s="137"/>
      <c r="D15" s="137"/>
      <c r="E15" s="137"/>
      <c r="F15" s="137"/>
      <c r="G15" s="138"/>
      <c r="H15" s="144">
        <f>Données!C15*(Fonctionnaire!H11+H14)</f>
        <v>0</v>
      </c>
      <c r="I15" s="145">
        <v>45</v>
      </c>
      <c r="J15" s="151"/>
      <c r="K15" s="152"/>
      <c r="L15" s="31"/>
    </row>
    <row r="16" spans="1:14" s="27" customFormat="1" ht="12.75" hidden="1" customHeight="1" x14ac:dyDescent="0.3">
      <c r="A16" s="50">
        <v>104000</v>
      </c>
      <c r="B16" s="136" t="str">
        <f>IF(Données!C22=0,"","SUPPLEMENT FAMILIAL DE TRAITEMENT")</f>
        <v/>
      </c>
      <c r="C16" s="137"/>
      <c r="D16" s="137"/>
      <c r="E16" s="137"/>
      <c r="F16" s="137"/>
      <c r="G16" s="138"/>
      <c r="H16" s="144">
        <f>Valeurs!F5</f>
        <v>0</v>
      </c>
      <c r="I16" s="145"/>
      <c r="J16" s="151"/>
      <c r="K16" s="152"/>
      <c r="L16" s="31"/>
    </row>
    <row r="17" spans="1:18" s="27" customFormat="1" ht="12.75" hidden="1" customHeight="1" x14ac:dyDescent="0.3">
      <c r="A17" s="50" t="str">
        <f>IF(Données!C26=0,"",200000+Données!A26)</f>
        <v/>
      </c>
      <c r="B17" s="136" t="str">
        <f>IF(Données!C26=0,"",UPPER(Données!B26))</f>
        <v/>
      </c>
      <c r="C17" s="137"/>
      <c r="D17" s="137"/>
      <c r="E17" s="137"/>
      <c r="F17" s="137"/>
      <c r="G17" s="138"/>
      <c r="H17" s="144">
        <f>IF(Données!C26=0,0,Données!C26)</f>
        <v>0</v>
      </c>
      <c r="I17" s="145"/>
      <c r="J17" s="151"/>
      <c r="K17" s="152"/>
      <c r="L17" s="31"/>
    </row>
    <row r="18" spans="1:18" s="27" customFormat="1" ht="12.75" hidden="1" customHeight="1" x14ac:dyDescent="0.3">
      <c r="A18" s="50" t="str">
        <f>IF(Données!C27=0,"",200000+Données!A27)</f>
        <v/>
      </c>
      <c r="B18" s="136" t="str">
        <f>IF(Données!C27=0,"",UPPER(Données!B27))</f>
        <v/>
      </c>
      <c r="C18" s="137"/>
      <c r="D18" s="137"/>
      <c r="E18" s="137"/>
      <c r="F18" s="137"/>
      <c r="G18" s="138"/>
      <c r="H18" s="144">
        <f>IF(Données!C27=0,0,Données!C27)</f>
        <v>0</v>
      </c>
      <c r="I18" s="145"/>
      <c r="J18" s="151"/>
      <c r="K18" s="152"/>
      <c r="L18" s="31"/>
    </row>
    <row r="19" spans="1:18" s="27" customFormat="1" ht="12.75" hidden="1" customHeight="1" x14ac:dyDescent="0.3">
      <c r="A19" s="50" t="str">
        <f>IF(Données!A28=0,"",200000+Données!A28)</f>
        <v/>
      </c>
      <c r="B19" s="136" t="str">
        <f>IF(Données!C28=0,"",UPPER(Données!B28))</f>
        <v/>
      </c>
      <c r="C19" s="137"/>
      <c r="D19" s="137"/>
      <c r="E19" s="137"/>
      <c r="F19" s="137"/>
      <c r="G19" s="138"/>
      <c r="H19" s="144">
        <f>IF(Données!C28=0,0,Données!C28)</f>
        <v>0</v>
      </c>
      <c r="I19" s="145"/>
      <c r="J19" s="151"/>
      <c r="K19" s="152"/>
      <c r="L19" s="31"/>
    </row>
    <row r="20" spans="1:18" s="27" customFormat="1" ht="12.75" hidden="1" customHeight="1" x14ac:dyDescent="0.3">
      <c r="A20" s="50">
        <v>200136</v>
      </c>
      <c r="B20" s="136" t="str">
        <f>IF(Données!C56=0,"","AVANTAGES EN NATURE")</f>
        <v/>
      </c>
      <c r="C20" s="137"/>
      <c r="D20" s="137"/>
      <c r="E20" s="137"/>
      <c r="F20" s="137"/>
      <c r="G20" s="138"/>
      <c r="H20" s="110"/>
      <c r="I20" s="124"/>
      <c r="J20" s="122"/>
      <c r="K20" s="123"/>
      <c r="L20" s="72">
        <f>Données!C56</f>
        <v>0</v>
      </c>
    </row>
    <row r="21" spans="1:18" s="27" customFormat="1" ht="12.75" hidden="1" customHeight="1" x14ac:dyDescent="0.3">
      <c r="A21" s="50" t="str">
        <f>IF(Données!C33=0,"",200000+Données!A33)</f>
        <v/>
      </c>
      <c r="B21" s="136" t="str">
        <f>IF(Données!C33=0,"",UPPER(Données!B33))</f>
        <v/>
      </c>
      <c r="C21" s="137"/>
      <c r="D21" s="137"/>
      <c r="E21" s="137"/>
      <c r="F21" s="137"/>
      <c r="G21" s="138"/>
      <c r="H21" s="144" t="str">
        <f>IF(Données!A33=0,"",Données!C33)</f>
        <v/>
      </c>
      <c r="I21" s="145"/>
      <c r="J21" s="151"/>
      <c r="K21" s="152"/>
      <c r="L21" s="31"/>
    </row>
    <row r="22" spans="1:18" s="27" customFormat="1" ht="12.75" hidden="1" customHeight="1" x14ac:dyDescent="0.3">
      <c r="A22" s="50" t="str">
        <f>IF(Données!A34=0,"",200000+Données!A34)</f>
        <v/>
      </c>
      <c r="B22" s="136" t="str">
        <f>IF(Données!C34=0,"",UPPER(Données!B34))</f>
        <v/>
      </c>
      <c r="C22" s="137"/>
      <c r="D22" s="137"/>
      <c r="E22" s="137"/>
      <c r="F22" s="137"/>
      <c r="G22" s="138"/>
      <c r="H22" s="144" t="str">
        <f>IF(Données!A34=0,"",Données!C34)</f>
        <v/>
      </c>
      <c r="I22" s="145"/>
      <c r="J22" s="151"/>
      <c r="K22" s="152"/>
      <c r="L22" s="31"/>
    </row>
    <row r="23" spans="1:18" s="27" customFormat="1" ht="12.75" hidden="1" customHeight="1" x14ac:dyDescent="0.3">
      <c r="A23" s="50" t="str">
        <f>IF(Données!A35=0,"",200000+Données!A35)</f>
        <v/>
      </c>
      <c r="B23" s="136" t="str">
        <f>IF(Données!C35=0,"",UPPER(Données!B35))</f>
        <v/>
      </c>
      <c r="C23" s="137"/>
      <c r="D23" s="137"/>
      <c r="E23" s="137"/>
      <c r="F23" s="137"/>
      <c r="G23" s="138"/>
      <c r="H23" s="144" t="str">
        <f>IF(Données!A35=0,"",Données!C35)</f>
        <v/>
      </c>
      <c r="I23" s="145"/>
      <c r="J23" s="151"/>
      <c r="K23" s="152"/>
      <c r="L23" s="31"/>
    </row>
    <row r="24" spans="1:18" s="27" customFormat="1" ht="12.75" hidden="1" customHeight="1" x14ac:dyDescent="0.3">
      <c r="A24" s="50" t="str">
        <f>IF(Données!A36=0,"",200000+Données!A36)</f>
        <v/>
      </c>
      <c r="B24" s="136" t="str">
        <f>IF(Données!C36=0,"",UPPER(Données!B36))</f>
        <v/>
      </c>
      <c r="C24" s="137"/>
      <c r="D24" s="137"/>
      <c r="E24" s="137"/>
      <c r="F24" s="137"/>
      <c r="G24" s="138"/>
      <c r="H24" s="144" t="str">
        <f>IF(Données!A36=0,"",Données!C36)</f>
        <v/>
      </c>
      <c r="I24" s="145"/>
      <c r="J24" s="151"/>
      <c r="K24" s="152"/>
      <c r="L24" s="31"/>
    </row>
    <row r="25" spans="1:18" s="27" customFormat="1" ht="12.75" hidden="1" customHeight="1" x14ac:dyDescent="0.3">
      <c r="A25" s="50" t="str">
        <f>IF(Données!A37=0,"",200000+Données!A37)</f>
        <v/>
      </c>
      <c r="B25" s="136" t="str">
        <f>IF(Données!C37=0,"",UPPER(Données!B37))</f>
        <v/>
      </c>
      <c r="C25" s="137"/>
      <c r="D25" s="137"/>
      <c r="E25" s="137"/>
      <c r="F25" s="137"/>
      <c r="G25" s="138"/>
      <c r="H25" s="144" t="str">
        <f>IF(Données!A37=0,"",Données!C37)</f>
        <v/>
      </c>
      <c r="I25" s="145"/>
      <c r="J25" s="151"/>
      <c r="K25" s="152"/>
      <c r="L25" s="31"/>
    </row>
    <row r="26" spans="1:18" s="27" customFormat="1" ht="11.5" hidden="1" customHeight="1" x14ac:dyDescent="0.3">
      <c r="A26" s="50">
        <f>IF(Données!A46=0,"",200000+Données!A46)</f>
        <v>202483</v>
      </c>
      <c r="B26" s="136" t="str">
        <f>IF(Données!C46=0,"",UPPER(Données!B46))</f>
        <v/>
      </c>
      <c r="C26" s="137"/>
      <c r="D26" s="137"/>
      <c r="E26" s="137"/>
      <c r="F26" s="137"/>
      <c r="G26" s="138"/>
      <c r="H26" s="144">
        <f>IF(Données!A46=0,"",Données!C46)</f>
        <v>0</v>
      </c>
      <c r="I26" s="145"/>
      <c r="J26" s="151"/>
      <c r="K26" s="152"/>
      <c r="L26" s="31"/>
    </row>
    <row r="27" spans="1:18" s="27" customFormat="1" ht="12.75" hidden="1" customHeight="1" x14ac:dyDescent="0.3">
      <c r="A27" s="50">
        <f>IF(Données!A47=0,"",200000+Données!A47)</f>
        <v>202510</v>
      </c>
      <c r="B27" s="136" t="str">
        <f>IF(Données!C47=0,"",UPPER(Données!B47))</f>
        <v/>
      </c>
      <c r="C27" s="137"/>
      <c r="D27" s="137"/>
      <c r="E27" s="137"/>
      <c r="F27" s="137"/>
      <c r="G27" s="138"/>
      <c r="H27" s="144">
        <f>IF(Données!A47=0,"",Données!C47)</f>
        <v>0</v>
      </c>
      <c r="I27" s="145"/>
      <c r="J27" s="151"/>
      <c r="K27" s="152"/>
      <c r="L27" s="31"/>
    </row>
    <row r="28" spans="1:18" s="27" customFormat="1" ht="11.5" customHeight="1" x14ac:dyDescent="0.3">
      <c r="A28" s="50">
        <v>401201</v>
      </c>
      <c r="B28" s="146" t="s">
        <v>33</v>
      </c>
      <c r="C28" s="147"/>
      <c r="D28" s="147"/>
      <c r="E28" s="147"/>
      <c r="F28" s="147"/>
      <c r="G28" s="148"/>
      <c r="H28" s="139"/>
      <c r="I28" s="140"/>
      <c r="J28" s="144">
        <f>Valeurs!F12*Valeurs!F7</f>
        <v>0</v>
      </c>
      <c r="K28" s="145"/>
      <c r="L28" s="117"/>
      <c r="O28" s="153" t="s">
        <v>131</v>
      </c>
      <c r="P28" s="153"/>
      <c r="Q28" s="153"/>
      <c r="R28" s="153"/>
    </row>
    <row r="29" spans="1:18" s="27" customFormat="1" ht="11.5" customHeight="1" x14ac:dyDescent="0.3">
      <c r="A29" s="50">
        <v>401301</v>
      </c>
      <c r="B29" s="146" t="s">
        <v>32</v>
      </c>
      <c r="C29" s="147"/>
      <c r="D29" s="147"/>
      <c r="E29" s="147"/>
      <c r="F29" s="147"/>
      <c r="G29" s="148"/>
      <c r="H29" s="139"/>
      <c r="I29" s="140"/>
      <c r="J29" s="144">
        <f>Valeurs!F12*Valeurs!F8</f>
        <v>0</v>
      </c>
      <c r="K29" s="145"/>
      <c r="L29" s="117"/>
      <c r="O29" s="153"/>
      <c r="P29" s="153"/>
      <c r="Q29" s="153"/>
      <c r="R29" s="153"/>
    </row>
    <row r="30" spans="1:18" s="27" customFormat="1" ht="11.5" customHeight="1" x14ac:dyDescent="0.3">
      <c r="A30" s="50">
        <v>401501</v>
      </c>
      <c r="B30" s="146" t="s">
        <v>31</v>
      </c>
      <c r="C30" s="147"/>
      <c r="D30" s="147"/>
      <c r="E30" s="147"/>
      <c r="F30" s="147"/>
      <c r="G30" s="148"/>
      <c r="H30" s="139"/>
      <c r="I30" s="140"/>
      <c r="J30" s="144">
        <f>Valeurs!F12*Valeurs!F9</f>
        <v>0</v>
      </c>
      <c r="K30" s="145"/>
      <c r="L30" s="117"/>
      <c r="O30" s="153"/>
      <c r="P30" s="153"/>
      <c r="Q30" s="153"/>
      <c r="R30" s="153"/>
    </row>
    <row r="31" spans="1:18" s="27" customFormat="1" ht="11.5" customHeight="1" x14ac:dyDescent="0.3">
      <c r="A31" s="50">
        <v>403301</v>
      </c>
      <c r="B31" s="146" t="s">
        <v>35</v>
      </c>
      <c r="C31" s="147"/>
      <c r="D31" s="147"/>
      <c r="E31" s="147"/>
      <c r="F31" s="147"/>
      <c r="G31" s="148"/>
      <c r="H31" s="139"/>
      <c r="I31" s="140"/>
      <c r="J31" s="139"/>
      <c r="K31" s="140"/>
      <c r="L31" s="118">
        <f>B58*Valeurs!D13</f>
        <v>0</v>
      </c>
    </row>
    <row r="32" spans="1:18" s="27" customFormat="1" ht="11.5" customHeight="1" x14ac:dyDescent="0.3">
      <c r="A32" s="50">
        <v>403397</v>
      </c>
      <c r="B32" s="141" t="s">
        <v>78</v>
      </c>
      <c r="C32" s="147"/>
      <c r="D32" s="147"/>
      <c r="E32" s="147"/>
      <c r="F32" s="147"/>
      <c r="G32" s="148"/>
      <c r="H32" s="139"/>
      <c r="I32" s="140"/>
      <c r="J32" s="139"/>
      <c r="K32" s="140"/>
      <c r="L32" s="118">
        <f>B58*Valeurs!D18</f>
        <v>0</v>
      </c>
    </row>
    <row r="33" spans="1:12" s="27" customFormat="1" ht="11.5" customHeight="1" x14ac:dyDescent="0.3">
      <c r="A33" s="50">
        <v>403501</v>
      </c>
      <c r="B33" s="146" t="s">
        <v>37</v>
      </c>
      <c r="C33" s="147"/>
      <c r="D33" s="147"/>
      <c r="E33" s="147"/>
      <c r="F33" s="147"/>
      <c r="G33" s="148"/>
      <c r="H33" s="139"/>
      <c r="I33" s="140"/>
      <c r="J33" s="139"/>
      <c r="K33" s="140"/>
      <c r="L33" s="118">
        <f>B58*Valeurs!D14</f>
        <v>0</v>
      </c>
    </row>
    <row r="34" spans="1:12" s="27" customFormat="1" ht="11.5" customHeight="1" x14ac:dyDescent="0.3">
      <c r="A34" s="50">
        <v>403801</v>
      </c>
      <c r="B34" s="146" t="s">
        <v>39</v>
      </c>
      <c r="C34" s="147"/>
      <c r="D34" s="147"/>
      <c r="E34" s="147"/>
      <c r="F34" s="147"/>
      <c r="G34" s="148"/>
      <c r="H34" s="139"/>
      <c r="I34" s="140"/>
      <c r="J34" s="139"/>
      <c r="K34" s="140"/>
      <c r="L34" s="118">
        <f>B58*Valeurs!D15</f>
        <v>0</v>
      </c>
    </row>
    <row r="35" spans="1:12" s="27" customFormat="1" ht="11.5" customHeight="1" x14ac:dyDescent="0.3">
      <c r="A35" s="50">
        <v>404001</v>
      </c>
      <c r="B35" s="146" t="s">
        <v>40</v>
      </c>
      <c r="C35" s="147"/>
      <c r="D35" s="147"/>
      <c r="E35" s="147"/>
      <c r="F35" s="147"/>
      <c r="G35" s="148"/>
      <c r="H35" s="139"/>
      <c r="I35" s="140"/>
      <c r="J35" s="139"/>
      <c r="K35" s="140"/>
      <c r="L35" s="118">
        <f>B58*Valeurs!D16</f>
        <v>0</v>
      </c>
    </row>
    <row r="36" spans="1:12" s="27" customFormat="1" ht="11.5" customHeight="1" x14ac:dyDescent="0.3">
      <c r="A36" s="50">
        <v>411050</v>
      </c>
      <c r="B36" s="136" t="s">
        <v>69</v>
      </c>
      <c r="C36" s="137"/>
      <c r="D36" s="137"/>
      <c r="E36" s="137"/>
      <c r="F36" s="137"/>
      <c r="G36" s="138"/>
      <c r="H36" s="139"/>
      <c r="I36" s="140"/>
      <c r="J36" s="139"/>
      <c r="K36" s="140"/>
      <c r="L36" s="118">
        <f>H11*Valeurs!D8</f>
        <v>0</v>
      </c>
    </row>
    <row r="37" spans="1:12" s="27" customFormat="1" ht="12.75" hidden="1" customHeight="1" x14ac:dyDescent="0.3">
      <c r="A37" s="50">
        <v>411053</v>
      </c>
      <c r="B37" s="136" t="str">
        <f>IF(Données!C19=0,"","CONTRIB PC NBI")</f>
        <v/>
      </c>
      <c r="C37" s="137"/>
      <c r="D37" s="137"/>
      <c r="E37" s="137"/>
      <c r="F37" s="137"/>
      <c r="G37" s="138"/>
      <c r="H37" s="168"/>
      <c r="I37" s="169"/>
      <c r="J37" s="168"/>
      <c r="K37" s="169"/>
      <c r="L37" s="110">
        <f>H14*Valeurs!D8</f>
        <v>0</v>
      </c>
    </row>
    <row r="38" spans="1:12" s="27" customFormat="1" ht="11.5" customHeight="1" x14ac:dyDescent="0.3">
      <c r="A38" s="50">
        <v>411058</v>
      </c>
      <c r="B38" s="141" t="s">
        <v>70</v>
      </c>
      <c r="C38" s="142"/>
      <c r="D38" s="142"/>
      <c r="E38" s="142"/>
      <c r="F38" s="142"/>
      <c r="G38" s="143"/>
      <c r="H38" s="139"/>
      <c r="I38" s="140"/>
      <c r="J38" s="139"/>
      <c r="K38" s="140"/>
      <c r="L38" s="118">
        <f>H11*Valeurs!D17</f>
        <v>0</v>
      </c>
    </row>
    <row r="39" spans="1:12" s="27" customFormat="1" ht="11.5" hidden="1" customHeight="1" x14ac:dyDescent="0.3">
      <c r="A39" s="50">
        <v>415000</v>
      </c>
      <c r="B39" s="141" t="str">
        <f>IF(Données!C54=0,"","COT PAT TITRES RESTAURANT")</f>
        <v/>
      </c>
      <c r="C39" s="142"/>
      <c r="D39" s="142"/>
      <c r="E39" s="142"/>
      <c r="F39" s="142"/>
      <c r="G39" s="143"/>
      <c r="H39" s="31"/>
      <c r="I39" s="48"/>
      <c r="J39" s="31"/>
      <c r="K39" s="48"/>
      <c r="L39" s="118">
        <f>J43*Données!C55/(1-Données!C55)</f>
        <v>0</v>
      </c>
    </row>
    <row r="40" spans="1:12" s="27" customFormat="1" ht="11.5" customHeight="1" x14ac:dyDescent="0.3">
      <c r="A40" s="50">
        <v>501080</v>
      </c>
      <c r="B40" s="146" t="s">
        <v>76</v>
      </c>
      <c r="C40" s="147"/>
      <c r="D40" s="147"/>
      <c r="E40" s="147"/>
      <c r="F40" s="147"/>
      <c r="G40" s="148"/>
      <c r="H40" s="139"/>
      <c r="I40" s="140"/>
      <c r="J40" s="144">
        <f>0.05*MIN(0.2*H11,Données!C38+Données!C56+H15+H16-Valeurs!F2)</f>
        <v>0</v>
      </c>
      <c r="K40" s="145"/>
      <c r="L40" s="118"/>
    </row>
    <row r="41" spans="1:12" s="27" customFormat="1" ht="11.5" customHeight="1" x14ac:dyDescent="0.3">
      <c r="A41" s="50">
        <v>501180</v>
      </c>
      <c r="B41" s="146" t="s">
        <v>77</v>
      </c>
      <c r="C41" s="147"/>
      <c r="D41" s="147"/>
      <c r="E41" s="147"/>
      <c r="F41" s="147"/>
      <c r="G41" s="148"/>
      <c r="H41" s="139"/>
      <c r="I41" s="140"/>
      <c r="J41" s="139"/>
      <c r="K41" s="140"/>
      <c r="L41" s="118">
        <f>J40</f>
        <v>0</v>
      </c>
    </row>
    <row r="42" spans="1:12" s="27" customFormat="1" ht="11.5" customHeight="1" x14ac:dyDescent="0.3">
      <c r="A42" s="50">
        <v>554500</v>
      </c>
      <c r="B42" s="146" t="s">
        <v>42</v>
      </c>
      <c r="C42" s="147"/>
      <c r="D42" s="147"/>
      <c r="E42" s="147"/>
      <c r="F42" s="147"/>
      <c r="G42" s="148"/>
      <c r="H42" s="139"/>
      <c r="I42" s="140"/>
      <c r="J42" s="139"/>
      <c r="K42" s="140"/>
      <c r="L42" s="118">
        <f>B58*Données!C59</f>
        <v>0</v>
      </c>
    </row>
    <row r="43" spans="1:12" s="27" customFormat="1" ht="11.5" hidden="1" customHeight="1" x14ac:dyDescent="0.3">
      <c r="A43" s="50">
        <v>559000</v>
      </c>
      <c r="B43" s="119" t="str">
        <f>IF(Données!C54=0,"","TITRES-RESTAURANTS")</f>
        <v/>
      </c>
      <c r="C43" s="120"/>
      <c r="D43" s="120"/>
      <c r="E43" s="120"/>
      <c r="F43" s="120"/>
      <c r="G43" s="121"/>
      <c r="H43" s="31"/>
      <c r="I43" s="48"/>
      <c r="J43" s="149">
        <f>Données!C54</f>
        <v>0</v>
      </c>
      <c r="K43" s="150"/>
      <c r="L43" s="118"/>
    </row>
    <row r="44" spans="1:12" s="27" customFormat="1" ht="11.25" hidden="1" customHeight="1" x14ac:dyDescent="0.3">
      <c r="A44" s="51">
        <v>604972</v>
      </c>
      <c r="B44" s="172" t="str">
        <f>IF(J44=0,"","TRANSFERT PRIMES POINTS")</f>
        <v/>
      </c>
      <c r="C44" s="173"/>
      <c r="D44" s="173"/>
      <c r="E44" s="173"/>
      <c r="F44" s="173"/>
      <c r="G44" s="174"/>
      <c r="H44" s="139"/>
      <c r="I44" s="140"/>
      <c r="J44" s="144">
        <f>Valeurs!F2</f>
        <v>0</v>
      </c>
      <c r="K44" s="145"/>
      <c r="L44" s="32"/>
    </row>
    <row r="45" spans="1:12" s="27" customFormat="1" ht="11.5" hidden="1" customHeight="1" x14ac:dyDescent="0.3">
      <c r="A45" s="51">
        <v>720176</v>
      </c>
      <c r="B45" s="172" t="str">
        <f>IF(J45=0,"","MUTUELLE PART FORFAIT.")</f>
        <v/>
      </c>
      <c r="C45" s="173"/>
      <c r="D45" s="173"/>
      <c r="E45" s="173"/>
      <c r="F45" s="173"/>
      <c r="G45" s="174"/>
      <c r="H45" s="139"/>
      <c r="I45" s="140"/>
      <c r="J45" s="170">
        <f>IF(Données!C41="OUI",Données!C42*0.2,0)</f>
        <v>0</v>
      </c>
      <c r="K45" s="171"/>
      <c r="L45" s="32"/>
    </row>
    <row r="46" spans="1:12" s="27" customFormat="1" ht="11.5" hidden="1" customHeight="1" x14ac:dyDescent="0.3">
      <c r="A46" s="51">
        <v>720177</v>
      </c>
      <c r="B46" s="172" t="str">
        <f>IF(J46=0,"","MUTUELLE PART SOLIDAIRE")</f>
        <v/>
      </c>
      <c r="C46" s="173"/>
      <c r="D46" s="173"/>
      <c r="E46" s="173"/>
      <c r="F46" s="173"/>
      <c r="G46" s="174"/>
      <c r="H46" s="139"/>
      <c r="I46" s="140"/>
      <c r="J46" s="170">
        <f>IF(Données!C41="OUI",MIN(Valeurs!C3,Fonctionnaire!J30/0.005),0)*Données!C43</f>
        <v>0</v>
      </c>
      <c r="K46" s="171"/>
      <c r="L46" s="32"/>
    </row>
    <row r="47" spans="1:12" s="27" customFormat="1" ht="11.5" hidden="1" customHeight="1" x14ac:dyDescent="0.3">
      <c r="A47" s="51">
        <v>720178</v>
      </c>
      <c r="B47" s="172" t="str">
        <f>IF(J47=0,"","MUTUELLE ACTION SOCIALE")</f>
        <v/>
      </c>
      <c r="C47" s="173"/>
      <c r="D47" s="173"/>
      <c r="E47" s="173"/>
      <c r="F47" s="173"/>
      <c r="G47" s="174"/>
      <c r="H47" s="139"/>
      <c r="I47" s="140"/>
      <c r="J47" s="170">
        <f>(J46+J45)*Données!C44</f>
        <v>0</v>
      </c>
      <c r="K47" s="171"/>
      <c r="L47" s="32"/>
    </row>
    <row r="48" spans="1:12" s="27" customFormat="1" ht="11.5" hidden="1" customHeight="1" x14ac:dyDescent="0.3">
      <c r="A48" s="51">
        <v>720179</v>
      </c>
      <c r="B48" s="172" t="str">
        <f>IF(J48=0,"","MUTUELLE AIDE RETRAITES")</f>
        <v/>
      </c>
      <c r="C48" s="173"/>
      <c r="D48" s="173"/>
      <c r="E48" s="173"/>
      <c r="F48" s="173"/>
      <c r="G48" s="174"/>
      <c r="H48" s="139"/>
      <c r="I48" s="140"/>
      <c r="J48" s="170">
        <f>(J45+J46)*Données!C45</f>
        <v>0</v>
      </c>
      <c r="K48" s="171"/>
      <c r="L48" s="32"/>
    </row>
    <row r="49" spans="1:12" s="27" customFormat="1" ht="11.5" hidden="1" customHeight="1" x14ac:dyDescent="0.3">
      <c r="A49" s="51">
        <v>720180</v>
      </c>
      <c r="B49" s="172" t="str">
        <f>IF(L49=0,"","MUTUELLE PART EMPLOYEUR")</f>
        <v/>
      </c>
      <c r="C49" s="173"/>
      <c r="D49" s="173"/>
      <c r="E49" s="173"/>
      <c r="F49" s="173"/>
      <c r="G49" s="174"/>
      <c r="H49" s="139"/>
      <c r="I49" s="140"/>
      <c r="J49" s="175"/>
      <c r="K49" s="176"/>
      <c r="L49" s="82">
        <f>IF(Données!C41="OUI",Données!C42/2,0)</f>
        <v>0</v>
      </c>
    </row>
    <row r="50" spans="1:12" s="27" customFormat="1" ht="11.5" customHeight="1" x14ac:dyDescent="0.3">
      <c r="A50" s="52">
        <v>11100</v>
      </c>
      <c r="B50" s="146" t="s">
        <v>41</v>
      </c>
      <c r="C50" s="147"/>
      <c r="D50" s="147"/>
      <c r="E50" s="147"/>
      <c r="F50" s="147"/>
      <c r="G50" s="148"/>
      <c r="H50" s="139"/>
      <c r="I50" s="140"/>
      <c r="J50" s="139"/>
      <c r="K50" s="140"/>
      <c r="L50" s="118">
        <f>H55-SUM(J12:K48)</f>
        <v>0</v>
      </c>
    </row>
    <row r="51" spans="1:12" s="27" customFormat="1" ht="11.5" customHeight="1" x14ac:dyDescent="0.3">
      <c r="A51" s="52">
        <v>11300</v>
      </c>
      <c r="B51" s="136" t="s">
        <v>80</v>
      </c>
      <c r="C51" s="137"/>
      <c r="D51" s="137"/>
      <c r="E51" s="137"/>
      <c r="F51" s="137"/>
      <c r="G51" s="138"/>
      <c r="H51" s="139"/>
      <c r="I51" s="140"/>
      <c r="J51" s="139"/>
      <c r="K51" s="140"/>
      <c r="L51" s="118">
        <f>L50-H26-H27+L20+J43-Données!C29</f>
        <v>0</v>
      </c>
    </row>
    <row r="52" spans="1:12" s="27" customFormat="1" ht="11.5" customHeight="1" x14ac:dyDescent="0.3">
      <c r="A52" s="50">
        <v>558000</v>
      </c>
      <c r="B52" s="146" t="s">
        <v>28</v>
      </c>
      <c r="C52" s="147"/>
      <c r="D52" s="147"/>
      <c r="E52" s="147"/>
      <c r="F52" s="147"/>
      <c r="G52" s="148"/>
      <c r="H52" s="139"/>
      <c r="I52" s="140"/>
      <c r="J52" s="170">
        <f>Données!C51*B60</f>
        <v>0</v>
      </c>
      <c r="K52" s="171"/>
      <c r="L52" s="117"/>
    </row>
    <row r="53" spans="1:12" s="27" customFormat="1" ht="11.5" customHeight="1" x14ac:dyDescent="0.3">
      <c r="A53" s="53"/>
      <c r="B53" s="68" t="s">
        <v>105</v>
      </c>
      <c r="C53" s="188">
        <f>Données!C51</f>
        <v>0</v>
      </c>
      <c r="D53" s="188"/>
      <c r="E53" s="66"/>
      <c r="F53" s="66"/>
      <c r="G53" s="67"/>
      <c r="H53" s="182"/>
      <c r="I53" s="183"/>
      <c r="J53" s="182"/>
      <c r="K53" s="183"/>
      <c r="L53" s="2"/>
    </row>
    <row r="54" spans="1:12" s="27" customFormat="1" ht="11.5" customHeight="1" x14ac:dyDescent="0.25">
      <c r="A54" s="54"/>
      <c r="B54" s="189" t="s">
        <v>26</v>
      </c>
      <c r="C54" s="190"/>
      <c r="D54" s="190"/>
      <c r="E54" s="190"/>
      <c r="F54" s="190"/>
      <c r="G54" s="191"/>
      <c r="H54" s="186"/>
      <c r="I54" s="187"/>
      <c r="J54" s="186"/>
      <c r="K54" s="187"/>
      <c r="L54" s="1"/>
    </row>
    <row r="55" spans="1:12" ht="12.75" customHeight="1" x14ac:dyDescent="0.3">
      <c r="A55" s="76"/>
      <c r="B55" s="184" t="s">
        <v>0</v>
      </c>
      <c r="C55" s="185"/>
      <c r="D55" s="160">
        <f>H55+L55-J44</f>
        <v>0</v>
      </c>
      <c r="E55" s="161"/>
      <c r="F55" s="28" t="s">
        <v>1</v>
      </c>
      <c r="H55" s="160">
        <f>SUM(H11:H28)</f>
        <v>0</v>
      </c>
      <c r="I55" s="161"/>
      <c r="J55" s="160">
        <f>SUM(J11:J53)</f>
        <v>0</v>
      </c>
      <c r="K55" s="160"/>
      <c r="L55" s="111">
        <f>SUM(L31:L49)</f>
        <v>0</v>
      </c>
    </row>
    <row r="56" spans="1:12" ht="19.5" customHeight="1" x14ac:dyDescent="0.3">
      <c r="A56" s="74"/>
      <c r="B56" s="75">
        <f>B9</f>
        <v>0</v>
      </c>
      <c r="C56" s="74"/>
      <c r="D56" s="177" t="s">
        <v>4</v>
      </c>
      <c r="E56" s="178"/>
      <c r="F56" s="179" t="s">
        <v>3</v>
      </c>
      <c r="G56" s="179"/>
      <c r="H56" s="179"/>
      <c r="I56" s="180">
        <f>L50-J52</f>
        <v>0</v>
      </c>
      <c r="J56" s="181"/>
      <c r="K56" s="181"/>
      <c r="L56" s="29" t="s">
        <v>2</v>
      </c>
    </row>
    <row r="57" spans="1:12" ht="17.25" customHeight="1" x14ac:dyDescent="0.3">
      <c r="A57" s="49" t="s">
        <v>27</v>
      </c>
      <c r="B57" s="158" t="s">
        <v>5</v>
      </c>
      <c r="C57" s="159"/>
    </row>
    <row r="58" spans="1:12" s="27" customFormat="1" ht="12.75" customHeight="1" x14ac:dyDescent="0.3">
      <c r="B58" s="30">
        <f>H11+H14</f>
        <v>0</v>
      </c>
    </row>
    <row r="59" spans="1:12" ht="18" customHeight="1" x14ac:dyDescent="0.3">
      <c r="A59" s="55" t="s">
        <v>6</v>
      </c>
      <c r="B59" s="158" t="s">
        <v>7</v>
      </c>
      <c r="C59" s="159"/>
      <c r="E59" s="71"/>
      <c r="F59" s="166">
        <f>Données!C3</f>
        <v>0</v>
      </c>
      <c r="G59" s="166"/>
      <c r="H59" s="166">
        <f>Données!C4</f>
        <v>0</v>
      </c>
      <c r="I59" s="166"/>
      <c r="J59" s="166"/>
      <c r="K59" s="167"/>
    </row>
    <row r="60" spans="1:12" ht="12" customHeight="1" x14ac:dyDescent="0.3">
      <c r="A60" s="56"/>
      <c r="B60" s="160">
        <f>L50+J30+J28+L49+J47+J48+J43+L20-H17-H18-H19</f>
        <v>0</v>
      </c>
      <c r="C60" s="161"/>
      <c r="E60" s="162"/>
      <c r="F60" s="163"/>
      <c r="G60" s="163"/>
      <c r="H60" s="163"/>
      <c r="I60" s="163"/>
      <c r="J60" s="163"/>
      <c r="K60" s="164"/>
    </row>
    <row r="61" spans="1:12" ht="10.5" hidden="1" customHeight="1" x14ac:dyDescent="0.3">
      <c r="A61" s="165" t="s">
        <v>8</v>
      </c>
      <c r="B61" s="165"/>
      <c r="C61" s="158"/>
      <c r="E61" s="162"/>
      <c r="F61" s="163"/>
      <c r="G61" s="163"/>
      <c r="H61" s="163"/>
      <c r="I61" s="163"/>
      <c r="J61" s="163"/>
      <c r="K61" s="164"/>
    </row>
    <row r="62" spans="1:12" ht="14.5" x14ac:dyDescent="0.3">
      <c r="A62" s="154"/>
      <c r="B62" s="154"/>
      <c r="C62" s="154"/>
      <c r="E62" s="155"/>
      <c r="F62" s="156"/>
      <c r="G62" s="156"/>
      <c r="H62" s="156"/>
      <c r="I62" s="156"/>
      <c r="J62" s="156"/>
      <c r="K62" s="157"/>
    </row>
  </sheetData>
  <sheetProtection algorithmName="SHA-512" hashValue="+9qXZbVDWXTjOIf9rFaZaHMlq7hT6fjOb/l8STZHteBywIQO9aJFAuBF8XyeYLFCmndqHPSCp1+v/yAx/AsxHg==" saltValue="MpikTrDHiVfVkAi960WjGQ==" spinCount="100000" sheet="1" objects="1" scenarios="1" autoFilter="0"/>
  <autoFilter ref="B11:G61" xr:uid="{11AAE063-F548-450D-A9F7-F0DF7D69DCD2}">
    <filterColumn colId="0" showButton="0">
      <customFilters>
        <customFilter operator="notEqual" val=" "/>
      </customFilters>
    </filterColumn>
    <filterColumn colId="1" showButton="0"/>
    <filterColumn colId="2" showButton="0"/>
    <filterColumn colId="3" showButton="0"/>
    <filterColumn colId="4" showButton="0"/>
  </autoFilter>
  <mergeCells count="159">
    <mergeCell ref="G3:K3"/>
    <mergeCell ref="A5:D5"/>
    <mergeCell ref="F5:K5"/>
    <mergeCell ref="I8:J8"/>
    <mergeCell ref="A6:L6"/>
    <mergeCell ref="H14:I14"/>
    <mergeCell ref="H13:I13"/>
    <mergeCell ref="H12:I12"/>
    <mergeCell ref="B12:G12"/>
    <mergeCell ref="B13:G13"/>
    <mergeCell ref="B14:G14"/>
    <mergeCell ref="I9:J9"/>
    <mergeCell ref="A10:L10"/>
    <mergeCell ref="B11:G11"/>
    <mergeCell ref="H11:I11"/>
    <mergeCell ref="J11:K11"/>
    <mergeCell ref="J12:K12"/>
    <mergeCell ref="J13:K13"/>
    <mergeCell ref="J14:K14"/>
    <mergeCell ref="H31:I31"/>
    <mergeCell ref="A7:D7"/>
    <mergeCell ref="F7:F8"/>
    <mergeCell ref="G7:G8"/>
    <mergeCell ref="I7:J7"/>
    <mergeCell ref="B8:C8"/>
    <mergeCell ref="A1:A3"/>
    <mergeCell ref="F1:H2"/>
    <mergeCell ref="I1:J1"/>
    <mergeCell ref="B15:G15"/>
    <mergeCell ref="H15:I15"/>
    <mergeCell ref="B16:G16"/>
    <mergeCell ref="H16:I16"/>
    <mergeCell ref="B21:G21"/>
    <mergeCell ref="H21:I21"/>
    <mergeCell ref="B28:G28"/>
    <mergeCell ref="H28:I28"/>
    <mergeCell ref="B23:G23"/>
    <mergeCell ref="B24:G24"/>
    <mergeCell ref="B25:G25"/>
    <mergeCell ref="H23:I23"/>
    <mergeCell ref="J15:K15"/>
    <mergeCell ref="J16:K16"/>
    <mergeCell ref="K1:L1"/>
    <mergeCell ref="D56:E56"/>
    <mergeCell ref="F56:H56"/>
    <mergeCell ref="I56:K56"/>
    <mergeCell ref="B57:C57"/>
    <mergeCell ref="D55:E55"/>
    <mergeCell ref="H55:I55"/>
    <mergeCell ref="J55:K55"/>
    <mergeCell ref="J53:K53"/>
    <mergeCell ref="J52:K52"/>
    <mergeCell ref="B55:C55"/>
    <mergeCell ref="J54:K54"/>
    <mergeCell ref="C53:D53"/>
    <mergeCell ref="B54:G54"/>
    <mergeCell ref="H54:I54"/>
    <mergeCell ref="B52:G52"/>
    <mergeCell ref="H52:I52"/>
    <mergeCell ref="H53:I53"/>
    <mergeCell ref="J45:K45"/>
    <mergeCell ref="J38:K38"/>
    <mergeCell ref="B44:G44"/>
    <mergeCell ref="H44:I44"/>
    <mergeCell ref="B50:G50"/>
    <mergeCell ref="H50:I50"/>
    <mergeCell ref="B41:G41"/>
    <mergeCell ref="H41:I41"/>
    <mergeCell ref="H42:I42"/>
    <mergeCell ref="J49:K49"/>
    <mergeCell ref="J48:K48"/>
    <mergeCell ref="J47:K47"/>
    <mergeCell ref="J46:K46"/>
    <mergeCell ref="J40:K40"/>
    <mergeCell ref="B45:G45"/>
    <mergeCell ref="B46:G46"/>
    <mergeCell ref="B47:G47"/>
    <mergeCell ref="B48:G48"/>
    <mergeCell ref="B49:G49"/>
    <mergeCell ref="A62:C62"/>
    <mergeCell ref="E62:K62"/>
    <mergeCell ref="B59:C59"/>
    <mergeCell ref="B60:C60"/>
    <mergeCell ref="E60:K61"/>
    <mergeCell ref="A61:C61"/>
    <mergeCell ref="F59:G59"/>
    <mergeCell ref="H59:K59"/>
    <mergeCell ref="B17:G17"/>
    <mergeCell ref="H17:I17"/>
    <mergeCell ref="B18:G18"/>
    <mergeCell ref="B19:G19"/>
    <mergeCell ref="H18:I18"/>
    <mergeCell ref="H19:I19"/>
    <mergeCell ref="B27:G27"/>
    <mergeCell ref="H27:I27"/>
    <mergeCell ref="B37:G37"/>
    <mergeCell ref="H37:I37"/>
    <mergeCell ref="J37:K37"/>
    <mergeCell ref="J50:K50"/>
    <mergeCell ref="J44:K44"/>
    <mergeCell ref="J51:K51"/>
    <mergeCell ref="J35:K35"/>
    <mergeCell ref="J34:K34"/>
    <mergeCell ref="J36:K36"/>
    <mergeCell ref="J42:K42"/>
    <mergeCell ref="J41:K41"/>
    <mergeCell ref="J43:K43"/>
    <mergeCell ref="J17:K17"/>
    <mergeCell ref="O28:R30"/>
    <mergeCell ref="J28:K28"/>
    <mergeCell ref="J21:K21"/>
    <mergeCell ref="J26:K26"/>
    <mergeCell ref="J22:K22"/>
    <mergeCell ref="J29:K29"/>
    <mergeCell ref="J31:K31"/>
    <mergeCell ref="J30:K30"/>
    <mergeCell ref="J33:K33"/>
    <mergeCell ref="J32:K32"/>
    <mergeCell ref="J18:K18"/>
    <mergeCell ref="J19:K19"/>
    <mergeCell ref="J23:K23"/>
    <mergeCell ref="J24:K24"/>
    <mergeCell ref="J25:K25"/>
    <mergeCell ref="J27:K27"/>
    <mergeCell ref="B33:G33"/>
    <mergeCell ref="H33:I33"/>
    <mergeCell ref="B36:G36"/>
    <mergeCell ref="H36:I36"/>
    <mergeCell ref="B40:G40"/>
    <mergeCell ref="H40:I40"/>
    <mergeCell ref="B34:G34"/>
    <mergeCell ref="H34:I34"/>
    <mergeCell ref="B35:G35"/>
    <mergeCell ref="H35:I35"/>
    <mergeCell ref="B39:G39"/>
    <mergeCell ref="B20:G20"/>
    <mergeCell ref="B51:G51"/>
    <mergeCell ref="H38:I38"/>
    <mergeCell ref="H45:I45"/>
    <mergeCell ref="H46:I46"/>
    <mergeCell ref="H47:I47"/>
    <mergeCell ref="H48:I48"/>
    <mergeCell ref="H49:I49"/>
    <mergeCell ref="H51:I51"/>
    <mergeCell ref="B38:G38"/>
    <mergeCell ref="H24:I24"/>
    <mergeCell ref="H25:I25"/>
    <mergeCell ref="B29:G29"/>
    <mergeCell ref="H29:I29"/>
    <mergeCell ref="B22:G22"/>
    <mergeCell ref="H22:I22"/>
    <mergeCell ref="B26:G26"/>
    <mergeCell ref="H26:I26"/>
    <mergeCell ref="B32:G32"/>
    <mergeCell ref="H32:I32"/>
    <mergeCell ref="B30:G30"/>
    <mergeCell ref="H30:I30"/>
    <mergeCell ref="B31:G31"/>
    <mergeCell ref="B42:G42"/>
  </mergeCells>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082FF-9AA6-47AD-9B40-68E39CECD126}">
  <sheetPr filterMode="1">
    <tabColor theme="9" tint="0.59999389629810485"/>
  </sheetPr>
  <dimension ref="A1:Q64"/>
  <sheetViews>
    <sheetView showGridLines="0" workbookViewId="0">
      <selection activeCell="N23" sqref="N23:Q27"/>
    </sheetView>
  </sheetViews>
  <sheetFormatPr baseColWidth="10" defaultColWidth="9.296875" defaultRowHeight="13" x14ac:dyDescent="0.3"/>
  <cols>
    <col min="1" max="1" width="7.796875" style="5" customWidth="1"/>
    <col min="2" max="2" width="21.296875" style="5" customWidth="1"/>
    <col min="3" max="3" width="4.19921875" style="5" customWidth="1"/>
    <col min="4" max="4" width="10.19921875" style="5" customWidth="1"/>
    <col min="5" max="5" width="0.5" style="5" customWidth="1"/>
    <col min="6" max="6" width="20.796875" style="5" customWidth="1"/>
    <col min="7" max="7" width="5.296875" style="5" customWidth="1"/>
    <col min="8" max="8" width="5.796875" style="5" customWidth="1"/>
    <col min="9" max="9" width="5" style="5" customWidth="1"/>
    <col min="10" max="10" width="3" style="5" customWidth="1"/>
    <col min="11" max="11" width="7.8984375" style="5" customWidth="1"/>
    <col min="12" max="12" width="13.19921875" style="5" customWidth="1"/>
    <col min="13" max="16384" width="9.296875" style="5"/>
  </cols>
  <sheetData>
    <row r="1" spans="1:12" ht="11.25" customHeight="1" x14ac:dyDescent="0.3">
      <c r="A1" s="198"/>
      <c r="B1" s="5" t="s">
        <v>15</v>
      </c>
      <c r="E1" s="10" t="s">
        <v>13</v>
      </c>
      <c r="F1" s="199" t="s">
        <v>13</v>
      </c>
      <c r="G1" s="199"/>
      <c r="H1" s="199"/>
      <c r="I1" s="199"/>
      <c r="J1" s="199"/>
      <c r="K1" s="201"/>
      <c r="L1" s="202"/>
    </row>
    <row r="2" spans="1:12" ht="11.25" customHeight="1" x14ac:dyDescent="0.3">
      <c r="A2" s="198"/>
      <c r="B2" s="5" t="s">
        <v>46</v>
      </c>
      <c r="E2" s="10"/>
      <c r="F2" s="199"/>
      <c r="G2" s="199"/>
      <c r="H2" s="199"/>
      <c r="I2" s="199"/>
      <c r="J2" s="199"/>
    </row>
    <row r="3" spans="1:12" ht="11.25" customHeight="1" x14ac:dyDescent="0.3">
      <c r="A3" s="198"/>
      <c r="B3" s="70">
        <f>Données!C9</f>
        <v>0</v>
      </c>
      <c r="F3" s="69" t="s">
        <v>14</v>
      </c>
      <c r="G3" s="251">
        <f>Données!C2</f>
        <v>0</v>
      </c>
      <c r="H3" s="252"/>
      <c r="I3" s="252"/>
      <c r="J3" s="253"/>
      <c r="K3" s="88"/>
      <c r="L3" s="7"/>
    </row>
    <row r="4" spans="1:12" ht="5.25" customHeight="1" x14ac:dyDescent="0.3">
      <c r="A4" s="4"/>
      <c r="F4" s="10"/>
      <c r="G4" s="9"/>
      <c r="H4" s="9"/>
      <c r="I4" s="6"/>
      <c r="J4" s="6"/>
      <c r="K4" s="6"/>
      <c r="L4" s="8"/>
    </row>
    <row r="5" spans="1:12" ht="16.5" customHeight="1" x14ac:dyDescent="0.3">
      <c r="A5" s="206" t="s">
        <v>12</v>
      </c>
      <c r="B5" s="206"/>
      <c r="C5" s="206"/>
      <c r="D5" s="207"/>
      <c r="F5" s="206" t="s">
        <v>11</v>
      </c>
      <c r="G5" s="206"/>
      <c r="H5" s="206"/>
      <c r="I5" s="206"/>
      <c r="J5" s="206"/>
      <c r="K5" s="207"/>
      <c r="L5" s="11" t="s">
        <v>10</v>
      </c>
    </row>
    <row r="6" spans="1:12" ht="22" customHeight="1" x14ac:dyDescent="0.3">
      <c r="A6" s="210" t="s">
        <v>136</v>
      </c>
      <c r="B6" s="210"/>
      <c r="C6" s="210"/>
      <c r="D6" s="210"/>
      <c r="E6" s="210"/>
      <c r="F6" s="210"/>
      <c r="G6" s="210"/>
      <c r="H6" s="210"/>
      <c r="I6" s="210"/>
      <c r="J6" s="210"/>
      <c r="K6" s="210"/>
      <c r="L6" s="210"/>
    </row>
    <row r="7" spans="1:12" ht="9" customHeight="1" x14ac:dyDescent="0.3">
      <c r="A7" s="192" t="s">
        <v>16</v>
      </c>
      <c r="B7" s="192"/>
      <c r="C7" s="192"/>
      <c r="D7" s="192"/>
      <c r="E7" s="12"/>
      <c r="F7" s="159" t="s">
        <v>17</v>
      </c>
      <c r="G7" s="193" t="s">
        <v>9</v>
      </c>
      <c r="H7" s="13"/>
      <c r="I7" s="194" t="s">
        <v>18</v>
      </c>
      <c r="J7" s="195"/>
      <c r="K7" s="14" t="s">
        <v>19</v>
      </c>
      <c r="L7" s="15"/>
    </row>
    <row r="8" spans="1:12" ht="9.25" customHeight="1" x14ac:dyDescent="0.3">
      <c r="A8" s="16" t="s">
        <v>20</v>
      </c>
      <c r="B8" s="196"/>
      <c r="C8" s="197"/>
      <c r="D8" s="17" t="s">
        <v>21</v>
      </c>
      <c r="E8" s="18"/>
      <c r="F8" s="159"/>
      <c r="G8" s="193"/>
      <c r="H8" s="19" t="s">
        <v>22</v>
      </c>
      <c r="I8" s="208" t="s">
        <v>23</v>
      </c>
      <c r="J8" s="209"/>
      <c r="K8" s="19" t="s">
        <v>24</v>
      </c>
      <c r="L8" s="20" t="s">
        <v>25</v>
      </c>
    </row>
    <row r="9" spans="1:12" ht="15.25" customHeight="1" x14ac:dyDescent="0.3">
      <c r="A9" s="21">
        <f>Données!C6</f>
        <v>0</v>
      </c>
      <c r="B9" s="47">
        <f>Données!C5</f>
        <v>0</v>
      </c>
      <c r="C9" s="22"/>
      <c r="D9" s="23"/>
      <c r="E9" s="24"/>
      <c r="F9" s="25">
        <f>Données!C7</f>
        <v>0</v>
      </c>
      <c r="G9" s="26">
        <f>Données!C22</f>
        <v>0</v>
      </c>
      <c r="H9" s="26">
        <f>Données!C8</f>
        <v>0</v>
      </c>
      <c r="I9" s="213">
        <f>Données!C13</f>
        <v>0</v>
      </c>
      <c r="J9" s="214"/>
      <c r="K9" s="26">
        <f>Données!C19</f>
        <v>0</v>
      </c>
      <c r="L9" s="89">
        <f>Valeurs!F1</f>
        <v>1</v>
      </c>
    </row>
    <row r="10" spans="1:12" ht="17.5" customHeight="1" x14ac:dyDescent="0.3">
      <c r="A10" s="254" t="s">
        <v>135</v>
      </c>
      <c r="B10" s="255"/>
      <c r="C10" s="255"/>
      <c r="D10" s="255"/>
      <c r="E10" s="255"/>
      <c r="F10" s="255"/>
      <c r="G10" s="255"/>
      <c r="H10" s="255"/>
      <c r="I10" s="255"/>
      <c r="J10" s="255"/>
      <c r="K10" s="255"/>
      <c r="L10" s="255"/>
    </row>
    <row r="11" spans="1:12" s="27" customFormat="1" ht="11.5" customHeight="1" x14ac:dyDescent="0.3">
      <c r="A11" s="50">
        <v>101000</v>
      </c>
      <c r="B11" s="256" t="s">
        <v>29</v>
      </c>
      <c r="C11" s="257"/>
      <c r="D11" s="257"/>
      <c r="E11" s="257"/>
      <c r="F11" s="257"/>
      <c r="G11" s="258"/>
      <c r="H11" s="259">
        <f>MAX(I9*Valeurs!C2,Données!C14)*Valeurs!F1</f>
        <v>0</v>
      </c>
      <c r="I11" s="260"/>
      <c r="J11" s="139"/>
      <c r="K11" s="140"/>
      <c r="L11" s="117"/>
    </row>
    <row r="12" spans="1:12" s="27" customFormat="1" ht="11.5" hidden="1" customHeight="1" x14ac:dyDescent="0.3">
      <c r="A12" s="50" t="str">
        <f>IF(Données!C15=0,"",102000)</f>
        <v/>
      </c>
      <c r="B12" s="136" t="str">
        <f>IF(Données!C15=0,"","INDEMNITE DE RESIDENCE")</f>
        <v/>
      </c>
      <c r="C12" s="137"/>
      <c r="D12" s="137"/>
      <c r="E12" s="137"/>
      <c r="F12" s="137"/>
      <c r="G12" s="138"/>
      <c r="H12" s="144">
        <f>Données!C15*('Agent Non Titulaire'!H11)</f>
        <v>0</v>
      </c>
      <c r="I12" s="145">
        <v>45</v>
      </c>
      <c r="J12" s="151"/>
      <c r="K12" s="152"/>
      <c r="L12" s="31"/>
    </row>
    <row r="13" spans="1:12" s="27" customFormat="1" ht="11.5" hidden="1" customHeight="1" x14ac:dyDescent="0.3">
      <c r="A13" s="50">
        <v>104000</v>
      </c>
      <c r="B13" s="136" t="str">
        <f>IF(Données!C22=0,"","SUPPLEMENT FAMILIAL DE TRAITEMENT")</f>
        <v/>
      </c>
      <c r="C13" s="137"/>
      <c r="D13" s="137"/>
      <c r="E13" s="137"/>
      <c r="F13" s="137"/>
      <c r="G13" s="138"/>
      <c r="H13" s="144">
        <f>Valeurs!F5</f>
        <v>0</v>
      </c>
      <c r="I13" s="145"/>
      <c r="J13" s="151"/>
      <c r="K13" s="152"/>
      <c r="L13" s="31"/>
    </row>
    <row r="14" spans="1:12" s="27" customFormat="1" ht="11.5" hidden="1" customHeight="1" x14ac:dyDescent="0.3">
      <c r="A14" s="50" t="str">
        <f>IF(Données!A26=0,"",200000+Données!A26)</f>
        <v/>
      </c>
      <c r="B14" s="136" t="str">
        <f>IF(Données!C26=0,"",UPPER(Données!B26))</f>
        <v/>
      </c>
      <c r="C14" s="137"/>
      <c r="D14" s="137"/>
      <c r="E14" s="137"/>
      <c r="F14" s="137"/>
      <c r="G14" s="138"/>
      <c r="H14" s="144">
        <f>Données!C26</f>
        <v>0</v>
      </c>
      <c r="I14" s="145"/>
      <c r="J14" s="151"/>
      <c r="K14" s="152"/>
      <c r="L14" s="31"/>
    </row>
    <row r="15" spans="1:12" s="27" customFormat="1" ht="11.5" hidden="1" customHeight="1" x14ac:dyDescent="0.3">
      <c r="A15" s="50" t="str">
        <f>IF(Données!A27=0,"",200000+Données!A27)</f>
        <v/>
      </c>
      <c r="B15" s="136" t="str">
        <f>IF(Données!C27=0,"",UPPER(Données!B27))</f>
        <v/>
      </c>
      <c r="C15" s="137"/>
      <c r="D15" s="137"/>
      <c r="E15" s="137"/>
      <c r="F15" s="137"/>
      <c r="G15" s="138"/>
      <c r="H15" s="144">
        <f>Données!C27</f>
        <v>0</v>
      </c>
      <c r="I15" s="145"/>
      <c r="J15" s="151"/>
      <c r="K15" s="152"/>
      <c r="L15" s="31"/>
    </row>
    <row r="16" spans="1:12" s="27" customFormat="1" ht="11.5" hidden="1" customHeight="1" x14ac:dyDescent="0.3">
      <c r="A16" s="50" t="str">
        <f>IF(Données!A28=0,"",200000+Données!A28)</f>
        <v/>
      </c>
      <c r="B16" s="136" t="str">
        <f>IF(Données!C28=0,"",UPPER(Données!B28))</f>
        <v/>
      </c>
      <c r="C16" s="137"/>
      <c r="D16" s="137"/>
      <c r="E16" s="137"/>
      <c r="F16" s="137"/>
      <c r="G16" s="138"/>
      <c r="H16" s="144">
        <f>Données!C28</f>
        <v>0</v>
      </c>
      <c r="I16" s="145"/>
      <c r="J16" s="151"/>
      <c r="K16" s="152"/>
      <c r="L16" s="31"/>
    </row>
    <row r="17" spans="1:17" s="27" customFormat="1" ht="11.5" hidden="1" customHeight="1" x14ac:dyDescent="0.3">
      <c r="A17" s="50">
        <v>200136</v>
      </c>
      <c r="B17" s="136" t="str">
        <f>IF(Données!C56=0,"","AVANTAGES EN NATURE")</f>
        <v/>
      </c>
      <c r="C17" s="137"/>
      <c r="D17" s="137"/>
      <c r="E17" s="137"/>
      <c r="F17" s="137"/>
      <c r="G17" s="138"/>
      <c r="H17" s="110"/>
      <c r="I17" s="124"/>
      <c r="J17" s="122"/>
      <c r="K17" s="123"/>
      <c r="L17" s="72">
        <f>Données!C56</f>
        <v>0</v>
      </c>
    </row>
    <row r="18" spans="1:17" s="27" customFormat="1" ht="11.5" hidden="1" customHeight="1" x14ac:dyDescent="0.3">
      <c r="A18" s="50" t="str">
        <f>IF(Données!A33=0,"",200000+Données!A33)</f>
        <v/>
      </c>
      <c r="B18" s="136" t="str">
        <f>IF(Données!C33=0,"",UPPER(Données!B33))</f>
        <v/>
      </c>
      <c r="C18" s="137"/>
      <c r="D18" s="137"/>
      <c r="E18" s="137"/>
      <c r="F18" s="137"/>
      <c r="G18" s="138"/>
      <c r="H18" s="144" t="str">
        <f>IF(Données!A33=0,"",Données!C33)</f>
        <v/>
      </c>
      <c r="I18" s="145"/>
      <c r="J18" s="151"/>
      <c r="K18" s="152"/>
      <c r="L18" s="31"/>
    </row>
    <row r="19" spans="1:17" s="27" customFormat="1" ht="11.5" hidden="1" customHeight="1" x14ac:dyDescent="0.3">
      <c r="A19" s="50" t="str">
        <f>IF(Données!A34=0,"",200000+Données!A34)</f>
        <v/>
      </c>
      <c r="B19" s="136" t="str">
        <f>IF(Données!C34=0,"",UPPER(Données!B34))</f>
        <v/>
      </c>
      <c r="C19" s="137"/>
      <c r="D19" s="137"/>
      <c r="E19" s="137"/>
      <c r="F19" s="137"/>
      <c r="G19" s="138"/>
      <c r="H19" s="144" t="str">
        <f>IF(Données!A34=0,"",Données!C34)</f>
        <v/>
      </c>
      <c r="I19" s="145"/>
      <c r="J19" s="151"/>
      <c r="K19" s="152"/>
      <c r="L19" s="31"/>
    </row>
    <row r="20" spans="1:17" s="27" customFormat="1" ht="11.5" hidden="1" customHeight="1" x14ac:dyDescent="0.3">
      <c r="A20" s="50" t="str">
        <f>IF(Données!A35=0,"",200000+Données!A35)</f>
        <v/>
      </c>
      <c r="B20" s="136" t="str">
        <f>IF(Données!C35=0,"",UPPER(Données!B35))</f>
        <v/>
      </c>
      <c r="C20" s="137"/>
      <c r="D20" s="137"/>
      <c r="E20" s="137"/>
      <c r="F20" s="137"/>
      <c r="G20" s="138"/>
      <c r="H20" s="144" t="str">
        <f>IF(Données!A35=0,"",Données!C35)</f>
        <v/>
      </c>
      <c r="I20" s="145"/>
      <c r="J20" s="151"/>
      <c r="K20" s="152"/>
      <c r="L20" s="31"/>
    </row>
    <row r="21" spans="1:17" s="27" customFormat="1" ht="11.5" hidden="1" customHeight="1" x14ac:dyDescent="0.3">
      <c r="A21" s="50" t="str">
        <f>IF(Données!A36=0,"",200000+Données!A36)</f>
        <v/>
      </c>
      <c r="B21" s="136" t="str">
        <f>IF(Données!C36=0,"",UPPER(Données!B36))</f>
        <v/>
      </c>
      <c r="C21" s="137"/>
      <c r="D21" s="137"/>
      <c r="E21" s="137"/>
      <c r="F21" s="137"/>
      <c r="G21" s="138"/>
      <c r="H21" s="144" t="str">
        <f>IF(Données!A36=0,"",Données!C36)</f>
        <v/>
      </c>
      <c r="I21" s="145"/>
      <c r="J21" s="151"/>
      <c r="K21" s="152"/>
      <c r="L21" s="31"/>
    </row>
    <row r="22" spans="1:17" s="27" customFormat="1" ht="11.5" hidden="1" customHeight="1" x14ac:dyDescent="0.3">
      <c r="A22" s="50" t="str">
        <f>IF(Données!A37=0,"",200000+Données!A37)</f>
        <v/>
      </c>
      <c r="B22" s="136" t="str">
        <f>IF(Données!C37=0,"",UPPER(Données!B37))</f>
        <v/>
      </c>
      <c r="C22" s="137"/>
      <c r="D22" s="137"/>
      <c r="E22" s="137"/>
      <c r="F22" s="137"/>
      <c r="G22" s="138"/>
      <c r="H22" s="144" t="str">
        <f>IF(Données!A37=0,"",Données!C37)</f>
        <v/>
      </c>
      <c r="I22" s="145"/>
      <c r="J22" s="151"/>
      <c r="K22" s="152"/>
      <c r="L22" s="31"/>
    </row>
    <row r="23" spans="1:17" s="27" customFormat="1" ht="11.5" hidden="1" customHeight="1" x14ac:dyDescent="0.3">
      <c r="A23" s="50">
        <f>IF(Données!A46=0,"",200000+Données!A46)</f>
        <v>202483</v>
      </c>
      <c r="B23" s="136" t="str">
        <f>IF(Données!C46=0,"",UPPER(Données!B46))</f>
        <v/>
      </c>
      <c r="C23" s="137"/>
      <c r="D23" s="137"/>
      <c r="E23" s="137"/>
      <c r="F23" s="137"/>
      <c r="G23" s="138"/>
      <c r="H23" s="144">
        <f>IF(Données!A46=0,"",Données!C46)</f>
        <v>0</v>
      </c>
      <c r="I23" s="145"/>
      <c r="J23" s="151"/>
      <c r="K23" s="152"/>
      <c r="L23" s="31"/>
      <c r="N23" s="153" t="s">
        <v>131</v>
      </c>
      <c r="O23" s="153"/>
      <c r="P23" s="153"/>
      <c r="Q23" s="153"/>
    </row>
    <row r="24" spans="1:17" s="27" customFormat="1" ht="11.5" hidden="1" customHeight="1" x14ac:dyDescent="0.3">
      <c r="A24" s="50">
        <f>IF(Données!A47=0,"",200000+Données!A47)</f>
        <v>202510</v>
      </c>
      <c r="B24" s="136" t="str">
        <f>IF(Données!C47=0,"",UPPER(Données!B47))</f>
        <v/>
      </c>
      <c r="C24" s="137"/>
      <c r="D24" s="137"/>
      <c r="E24" s="137"/>
      <c r="F24" s="137"/>
      <c r="G24" s="138"/>
      <c r="H24" s="144">
        <f>IF(Données!A47=0,"",Données!C47)</f>
        <v>0</v>
      </c>
      <c r="I24" s="145"/>
      <c r="J24" s="151"/>
      <c r="K24" s="152"/>
      <c r="L24" s="31"/>
      <c r="N24" s="153"/>
      <c r="O24" s="153"/>
      <c r="P24" s="153"/>
      <c r="Q24" s="153"/>
    </row>
    <row r="25" spans="1:17" s="27" customFormat="1" ht="11.5" customHeight="1" x14ac:dyDescent="0.3">
      <c r="A25" s="50">
        <v>401110</v>
      </c>
      <c r="B25" s="261" t="s">
        <v>34</v>
      </c>
      <c r="C25" s="262"/>
      <c r="D25" s="262"/>
      <c r="E25" s="262"/>
      <c r="F25" s="262"/>
      <c r="G25" s="263"/>
      <c r="H25" s="175"/>
      <c r="I25" s="176"/>
      <c r="J25" s="217">
        <f>Valeurs!F15*Valeurs!C9</f>
        <v>0</v>
      </c>
      <c r="K25" s="218"/>
      <c r="L25" s="117"/>
      <c r="N25" s="153"/>
      <c r="O25" s="153"/>
      <c r="P25" s="153"/>
      <c r="Q25" s="153"/>
    </row>
    <row r="26" spans="1:17" s="27" customFormat="1" ht="11.5" customHeight="1" x14ac:dyDescent="0.3">
      <c r="A26" s="50">
        <v>401210</v>
      </c>
      <c r="B26" s="146" t="s">
        <v>33</v>
      </c>
      <c r="C26" s="147"/>
      <c r="D26" s="147"/>
      <c r="E26" s="147"/>
      <c r="F26" s="147"/>
      <c r="G26" s="148"/>
      <c r="H26" s="139"/>
      <c r="I26" s="140"/>
      <c r="J26" s="170">
        <f>Valeurs!F14*Valeurs!F7</f>
        <v>0</v>
      </c>
      <c r="K26" s="171"/>
      <c r="L26" s="117"/>
      <c r="N26" s="153"/>
      <c r="O26" s="153"/>
      <c r="P26" s="153"/>
      <c r="Q26" s="153"/>
    </row>
    <row r="27" spans="1:17" s="27" customFormat="1" ht="11.5" customHeight="1" x14ac:dyDescent="0.3">
      <c r="A27" s="50">
        <v>401310</v>
      </c>
      <c r="B27" s="146" t="s">
        <v>32</v>
      </c>
      <c r="C27" s="147"/>
      <c r="D27" s="147"/>
      <c r="E27" s="147"/>
      <c r="F27" s="147"/>
      <c r="G27" s="148"/>
      <c r="H27" s="139"/>
      <c r="I27" s="140"/>
      <c r="J27" s="170">
        <f>Valeurs!F14*Valeurs!F8</f>
        <v>0</v>
      </c>
      <c r="K27" s="171"/>
      <c r="L27" s="117"/>
      <c r="N27" s="153"/>
      <c r="O27" s="153"/>
      <c r="P27" s="153"/>
      <c r="Q27" s="153"/>
    </row>
    <row r="28" spans="1:17" s="27" customFormat="1" ht="11.5" customHeight="1" x14ac:dyDescent="0.3">
      <c r="A28" s="50">
        <v>401510</v>
      </c>
      <c r="B28" s="146" t="s">
        <v>31</v>
      </c>
      <c r="C28" s="147"/>
      <c r="D28" s="147"/>
      <c r="E28" s="147"/>
      <c r="F28" s="147"/>
      <c r="G28" s="148"/>
      <c r="H28" s="139"/>
      <c r="I28" s="140"/>
      <c r="J28" s="170">
        <f>Valeurs!F14*Valeurs!F9</f>
        <v>0</v>
      </c>
      <c r="K28" s="171"/>
      <c r="L28" s="117"/>
    </row>
    <row r="29" spans="1:17" s="27" customFormat="1" ht="11.5" customHeight="1" x14ac:dyDescent="0.3">
      <c r="A29" s="50">
        <v>402110</v>
      </c>
      <c r="B29" s="261" t="s">
        <v>30</v>
      </c>
      <c r="C29" s="262"/>
      <c r="D29" s="262"/>
      <c r="E29" s="262"/>
      <c r="F29" s="262"/>
      <c r="G29" s="263"/>
      <c r="H29" s="168"/>
      <c r="I29" s="169"/>
      <c r="J29" s="170">
        <f>Valeurs!C10*Valeurs!F16</f>
        <v>0</v>
      </c>
      <c r="K29" s="171"/>
      <c r="L29" s="117"/>
    </row>
    <row r="30" spans="1:17" s="27" customFormat="1" ht="11.5" customHeight="1" x14ac:dyDescent="0.3">
      <c r="A30" s="50">
        <v>403310</v>
      </c>
      <c r="B30" s="146" t="s">
        <v>35</v>
      </c>
      <c r="C30" s="147"/>
      <c r="D30" s="147"/>
      <c r="E30" s="147"/>
      <c r="F30" s="147"/>
      <c r="G30" s="148"/>
      <c r="H30" s="139"/>
      <c r="I30" s="140"/>
      <c r="J30" s="217"/>
      <c r="K30" s="218"/>
      <c r="L30" s="110">
        <f>Valeurs!F16*Valeurs!D13</f>
        <v>0</v>
      </c>
    </row>
    <row r="31" spans="1:17" s="27" customFormat="1" ht="11.5" customHeight="1" x14ac:dyDescent="0.3">
      <c r="A31" s="50">
        <v>403398</v>
      </c>
      <c r="B31" s="141" t="s">
        <v>78</v>
      </c>
      <c r="C31" s="147"/>
      <c r="D31" s="147"/>
      <c r="E31" s="147"/>
      <c r="F31" s="147"/>
      <c r="G31" s="148"/>
      <c r="H31" s="139"/>
      <c r="I31" s="140"/>
      <c r="J31" s="217"/>
      <c r="K31" s="218"/>
      <c r="L31" s="110">
        <f>Valeurs!D18*Valeurs!F16</f>
        <v>0</v>
      </c>
    </row>
    <row r="32" spans="1:17" s="27" customFormat="1" ht="11.5" hidden="1" customHeight="1" x14ac:dyDescent="0.3">
      <c r="A32" s="50">
        <v>403412</v>
      </c>
      <c r="B32" s="141" t="str">
        <f>IF(L32=0,"","COT PATR ACCIDENT TRAVAIL")</f>
        <v/>
      </c>
      <c r="C32" s="147"/>
      <c r="D32" s="147"/>
      <c r="E32" s="147"/>
      <c r="F32" s="147"/>
      <c r="G32" s="148"/>
      <c r="H32" s="31"/>
      <c r="I32" s="48"/>
      <c r="J32" s="72"/>
      <c r="K32" s="73"/>
      <c r="L32" s="110">
        <f>IF(Données!C20="Contractuel SS 12",Valeurs!D19*Valeurs!F16,0)</f>
        <v>0</v>
      </c>
    </row>
    <row r="33" spans="1:12" s="27" customFormat="1" ht="11.5" customHeight="1" x14ac:dyDescent="0.3">
      <c r="A33" s="50">
        <v>403510</v>
      </c>
      <c r="B33" s="146" t="s">
        <v>37</v>
      </c>
      <c r="C33" s="147"/>
      <c r="D33" s="147"/>
      <c r="E33" s="147"/>
      <c r="F33" s="147"/>
      <c r="G33" s="148"/>
      <c r="H33" s="139"/>
      <c r="I33" s="140"/>
      <c r="J33" s="217"/>
      <c r="K33" s="218"/>
      <c r="L33" s="110">
        <f>Valeurs!F16*Valeurs!D14</f>
        <v>0</v>
      </c>
    </row>
    <row r="34" spans="1:12" s="27" customFormat="1" ht="11.5" customHeight="1" x14ac:dyDescent="0.3">
      <c r="A34" s="50">
        <v>403610</v>
      </c>
      <c r="B34" s="261" t="s">
        <v>36</v>
      </c>
      <c r="C34" s="262"/>
      <c r="D34" s="262"/>
      <c r="E34" s="262"/>
      <c r="F34" s="262"/>
      <c r="G34" s="263"/>
      <c r="H34" s="139"/>
      <c r="I34" s="140"/>
      <c r="J34" s="217"/>
      <c r="K34" s="218"/>
      <c r="L34" s="110">
        <f>Valeurs!D9*Valeurs!F15</f>
        <v>0</v>
      </c>
    </row>
    <row r="35" spans="1:12" s="27" customFormat="1" ht="11.5" customHeight="1" x14ac:dyDescent="0.3">
      <c r="A35" s="50">
        <v>403710</v>
      </c>
      <c r="B35" s="146" t="s">
        <v>38</v>
      </c>
      <c r="C35" s="147"/>
      <c r="D35" s="147"/>
      <c r="E35" s="147"/>
      <c r="F35" s="147"/>
      <c r="G35" s="148"/>
      <c r="H35" s="139"/>
      <c r="I35" s="140"/>
      <c r="J35" s="217"/>
      <c r="K35" s="218"/>
      <c r="L35" s="110">
        <f>Valeurs!F16*Valeurs!D10</f>
        <v>0</v>
      </c>
    </row>
    <row r="36" spans="1:12" s="27" customFormat="1" ht="11.5" customHeight="1" x14ac:dyDescent="0.3">
      <c r="A36" s="50">
        <v>403810</v>
      </c>
      <c r="B36" s="261" t="s">
        <v>39</v>
      </c>
      <c r="C36" s="262"/>
      <c r="D36" s="262"/>
      <c r="E36" s="262"/>
      <c r="F36" s="262"/>
      <c r="G36" s="263"/>
      <c r="H36" s="139"/>
      <c r="I36" s="140"/>
      <c r="J36" s="217"/>
      <c r="K36" s="218"/>
      <c r="L36" s="110">
        <f>Valeurs!D15*Valeurs!F16</f>
        <v>0</v>
      </c>
    </row>
    <row r="37" spans="1:12" s="27" customFormat="1" ht="11.5" customHeight="1" x14ac:dyDescent="0.3">
      <c r="A37" s="50">
        <v>404098</v>
      </c>
      <c r="B37" s="146" t="s">
        <v>40</v>
      </c>
      <c r="C37" s="147"/>
      <c r="D37" s="147"/>
      <c r="E37" s="147"/>
      <c r="F37" s="147"/>
      <c r="G37" s="148"/>
      <c r="H37" s="139"/>
      <c r="I37" s="140"/>
      <c r="J37" s="170"/>
      <c r="K37" s="171"/>
      <c r="L37" s="110">
        <f>Valeurs!D20*Valeurs!F16</f>
        <v>0</v>
      </c>
    </row>
    <row r="38" spans="1:12" s="27" customFormat="1" ht="11.5" customHeight="1" x14ac:dyDescent="0.3">
      <c r="A38" s="50">
        <v>404098</v>
      </c>
      <c r="B38" s="261" t="s">
        <v>45</v>
      </c>
      <c r="C38" s="262"/>
      <c r="D38" s="262"/>
      <c r="E38" s="262"/>
      <c r="F38" s="262"/>
      <c r="G38" s="263"/>
      <c r="H38" s="139"/>
      <c r="I38" s="140"/>
      <c r="J38" s="217"/>
      <c r="K38" s="218"/>
      <c r="L38" s="110">
        <f>Valeurs!D21*Valeurs!F16</f>
        <v>0</v>
      </c>
    </row>
    <row r="39" spans="1:12" s="27" customFormat="1" ht="11.5" customHeight="1" x14ac:dyDescent="0.3">
      <c r="A39" s="50">
        <v>404598</v>
      </c>
      <c r="B39" s="57" t="s">
        <v>118</v>
      </c>
      <c r="C39" s="33"/>
      <c r="D39" s="33"/>
      <c r="E39" s="33"/>
      <c r="F39" s="33"/>
      <c r="G39" s="34"/>
      <c r="H39" s="168"/>
      <c r="I39" s="169"/>
      <c r="J39" s="217"/>
      <c r="K39" s="218"/>
      <c r="L39" s="110">
        <f>Valeurs!D22*Données!C48</f>
        <v>0</v>
      </c>
    </row>
    <row r="40" spans="1:12" s="27" customFormat="1" ht="11.5" hidden="1" customHeight="1" x14ac:dyDescent="0.3">
      <c r="A40" s="50">
        <v>415000</v>
      </c>
      <c r="B40" s="141" t="str">
        <f>IF(Données!C54=0,"","COT PAT TITRES RESTAURANT")</f>
        <v/>
      </c>
      <c r="C40" s="142"/>
      <c r="D40" s="142"/>
      <c r="E40" s="142"/>
      <c r="F40" s="142"/>
      <c r="G40" s="143"/>
      <c r="H40" s="31"/>
      <c r="I40" s="48"/>
      <c r="J40" s="31"/>
      <c r="K40" s="48"/>
      <c r="L40" s="118">
        <f>J47*Données!C55/(1-Données!C55)</f>
        <v>0</v>
      </c>
    </row>
    <row r="41" spans="1:12" s="27" customFormat="1" ht="11.5" customHeight="1" x14ac:dyDescent="0.3">
      <c r="A41" s="50">
        <v>501010</v>
      </c>
      <c r="B41" s="146" t="s">
        <v>44</v>
      </c>
      <c r="C41" s="147"/>
      <c r="D41" s="147"/>
      <c r="E41" s="147"/>
      <c r="F41" s="147"/>
      <c r="G41" s="148"/>
      <c r="H41" s="139"/>
      <c r="I41" s="140"/>
      <c r="J41" s="217">
        <f>Valeurs!C11*Valeurs!F18</f>
        <v>0</v>
      </c>
      <c r="K41" s="218"/>
      <c r="L41" s="110"/>
    </row>
    <row r="42" spans="1:12" s="27" customFormat="1" ht="11.5" customHeight="1" x14ac:dyDescent="0.3">
      <c r="A42" s="50">
        <v>501110</v>
      </c>
      <c r="B42" s="261" t="s">
        <v>43</v>
      </c>
      <c r="C42" s="262"/>
      <c r="D42" s="262"/>
      <c r="E42" s="262"/>
      <c r="F42" s="262"/>
      <c r="G42" s="263"/>
      <c r="H42" s="31"/>
      <c r="I42" s="48"/>
      <c r="J42" s="217"/>
      <c r="K42" s="218"/>
      <c r="L42" s="110">
        <f>Valeurs!D11*Valeurs!F18</f>
        <v>0</v>
      </c>
    </row>
    <row r="43" spans="1:12" s="27" customFormat="1" ht="11.5" hidden="1" customHeight="1" x14ac:dyDescent="0.3">
      <c r="A43" s="50">
        <v>502010</v>
      </c>
      <c r="B43" s="136" t="str">
        <f>IF(J43=0,"","COT SAL IRCANTEC TR.B")</f>
        <v/>
      </c>
      <c r="C43" s="137"/>
      <c r="D43" s="137"/>
      <c r="E43" s="137"/>
      <c r="F43" s="137"/>
      <c r="G43" s="138"/>
      <c r="H43" s="31"/>
      <c r="I43" s="48"/>
      <c r="J43" s="217">
        <f>Valeurs!C12*Valeurs!F19</f>
        <v>0</v>
      </c>
      <c r="K43" s="218"/>
      <c r="L43" s="3"/>
    </row>
    <row r="44" spans="1:12" s="27" customFormat="1" ht="11.5" hidden="1" customHeight="1" x14ac:dyDescent="0.3">
      <c r="A44" s="50">
        <v>502110</v>
      </c>
      <c r="B44" s="136" t="str">
        <f>IF(L44=0,"","COT PAT IRCANTEC TR.B")</f>
        <v/>
      </c>
      <c r="C44" s="137"/>
      <c r="D44" s="137"/>
      <c r="E44" s="137"/>
      <c r="F44" s="137"/>
      <c r="G44" s="138"/>
      <c r="H44" s="31"/>
      <c r="I44" s="48"/>
      <c r="J44" s="168"/>
      <c r="K44" s="169"/>
      <c r="L44" s="110">
        <f>Valeurs!D12*Valeurs!F19</f>
        <v>0</v>
      </c>
    </row>
    <row r="45" spans="1:12" s="27" customFormat="1" ht="11.5" hidden="1" customHeight="1" x14ac:dyDescent="0.3">
      <c r="A45" s="50">
        <v>551120</v>
      </c>
      <c r="B45" s="264" t="str">
        <f>IF(L45=0,"","COT PAT ASSURANCE CHOMAGE")</f>
        <v/>
      </c>
      <c r="C45" s="265"/>
      <c r="D45" s="265"/>
      <c r="E45" s="265"/>
      <c r="F45" s="265"/>
      <c r="G45" s="266"/>
      <c r="H45" s="31"/>
      <c r="I45" s="48"/>
      <c r="J45" s="168"/>
      <c r="K45" s="169"/>
      <c r="L45" s="110">
        <f>Données!C57*Valeurs!F16</f>
        <v>0</v>
      </c>
    </row>
    <row r="46" spans="1:12" s="27" customFormat="1" ht="11.5" customHeight="1" x14ac:dyDescent="0.3">
      <c r="A46" s="50">
        <v>554500</v>
      </c>
      <c r="B46" s="146" t="s">
        <v>42</v>
      </c>
      <c r="C46" s="147"/>
      <c r="D46" s="147"/>
      <c r="E46" s="147"/>
      <c r="F46" s="147"/>
      <c r="G46" s="148"/>
      <c r="H46" s="31"/>
      <c r="I46" s="48"/>
      <c r="J46" s="168"/>
      <c r="K46" s="169"/>
      <c r="L46" s="110">
        <f>Valeurs!D24*Valeurs!F16</f>
        <v>0</v>
      </c>
    </row>
    <row r="47" spans="1:12" s="27" customFormat="1" ht="11.5" hidden="1" customHeight="1" x14ac:dyDescent="0.3">
      <c r="A47" s="50">
        <v>559000</v>
      </c>
      <c r="B47" s="136" t="str">
        <f>IF(Données!C54=0,"","TITRES-RESTAURANTS")</f>
        <v/>
      </c>
      <c r="C47" s="137"/>
      <c r="D47" s="137"/>
      <c r="E47" s="137"/>
      <c r="F47" s="137"/>
      <c r="G47" s="138"/>
      <c r="H47" s="31"/>
      <c r="I47" s="48"/>
      <c r="J47" s="149">
        <f>Données!C54</f>
        <v>0</v>
      </c>
      <c r="K47" s="150"/>
      <c r="L47" s="118"/>
    </row>
    <row r="48" spans="1:12" s="27" customFormat="1" ht="11.5" hidden="1" customHeight="1" x14ac:dyDescent="0.3">
      <c r="A48" s="51">
        <v>720176</v>
      </c>
      <c r="B48" s="172" t="str">
        <f>IF(J48=0,"","MUTUELLE PART FORFAIT.")</f>
        <v/>
      </c>
      <c r="C48" s="173"/>
      <c r="D48" s="173"/>
      <c r="E48" s="173"/>
      <c r="F48" s="173"/>
      <c r="G48" s="174"/>
      <c r="H48" s="139"/>
      <c r="I48" s="140"/>
      <c r="J48" s="170">
        <f>IF(Données!C41="OUI",Données!C42*0.2,0)</f>
        <v>0</v>
      </c>
      <c r="K48" s="171"/>
      <c r="L48" s="32"/>
    </row>
    <row r="49" spans="1:15" s="27" customFormat="1" ht="11.5" hidden="1" customHeight="1" x14ac:dyDescent="0.3">
      <c r="A49" s="51">
        <v>720177</v>
      </c>
      <c r="B49" s="172" t="str">
        <f>IF(J49=0,"","MUTUELLE PART SOLIDAIRE")</f>
        <v/>
      </c>
      <c r="C49" s="173"/>
      <c r="D49" s="173"/>
      <c r="E49" s="173"/>
      <c r="F49" s="173"/>
      <c r="G49" s="174"/>
      <c r="H49" s="139"/>
      <c r="I49" s="140"/>
      <c r="J49" s="170">
        <f>IF(Données!C41="OUI",MIN(Valeurs!C3,'Agent Non Titulaire'!J28/0.005),0)*Données!C43</f>
        <v>0</v>
      </c>
      <c r="K49" s="171"/>
      <c r="L49" s="32"/>
    </row>
    <row r="50" spans="1:15" s="27" customFormat="1" ht="11.5" hidden="1" customHeight="1" x14ac:dyDescent="0.3">
      <c r="A50" s="51">
        <v>720178</v>
      </c>
      <c r="B50" s="172" t="str">
        <f>IF(J50=0,"","MUTUELLE ACTION SOCIALE")</f>
        <v/>
      </c>
      <c r="C50" s="173"/>
      <c r="D50" s="173"/>
      <c r="E50" s="173"/>
      <c r="F50" s="173"/>
      <c r="G50" s="174"/>
      <c r="H50" s="139"/>
      <c r="I50" s="140"/>
      <c r="J50" s="170">
        <f>(J49+J48)*Données!C44</f>
        <v>0</v>
      </c>
      <c r="K50" s="171"/>
      <c r="L50" s="32"/>
    </row>
    <row r="51" spans="1:15" s="27" customFormat="1" ht="11.5" hidden="1" customHeight="1" x14ac:dyDescent="0.3">
      <c r="A51" s="51">
        <v>720179</v>
      </c>
      <c r="B51" s="172" t="str">
        <f>IF(J51=0,"","MUTUELLE AIDE RETRAITES")</f>
        <v/>
      </c>
      <c r="C51" s="173"/>
      <c r="D51" s="173"/>
      <c r="E51" s="173"/>
      <c r="F51" s="173"/>
      <c r="G51" s="174"/>
      <c r="H51" s="139"/>
      <c r="I51" s="140"/>
      <c r="J51" s="170">
        <f>(J48+J49)*Données!C45</f>
        <v>0</v>
      </c>
      <c r="K51" s="171"/>
      <c r="L51" s="32"/>
    </row>
    <row r="52" spans="1:15" s="27" customFormat="1" ht="11.5" hidden="1" customHeight="1" x14ac:dyDescent="0.3">
      <c r="A52" s="51">
        <v>720180</v>
      </c>
      <c r="B52" s="172" t="str">
        <f>IF(L52=0,"","MUTUELLE PART EMPLOYEUR")</f>
        <v/>
      </c>
      <c r="C52" s="173"/>
      <c r="D52" s="173"/>
      <c r="E52" s="173"/>
      <c r="F52" s="173"/>
      <c r="G52" s="174"/>
      <c r="H52" s="139"/>
      <c r="I52" s="140"/>
      <c r="J52" s="175"/>
      <c r="K52" s="176"/>
      <c r="L52" s="82">
        <f>IF(Données!C41="OUI",Données!C42/2,0)</f>
        <v>0</v>
      </c>
    </row>
    <row r="53" spans="1:15" s="27" customFormat="1" ht="11.5" customHeight="1" x14ac:dyDescent="0.3">
      <c r="A53" s="52">
        <v>11100</v>
      </c>
      <c r="B53" s="146" t="s">
        <v>41</v>
      </c>
      <c r="C53" s="147"/>
      <c r="D53" s="147"/>
      <c r="E53" s="147"/>
      <c r="F53" s="147"/>
      <c r="G53" s="148"/>
      <c r="H53" s="139"/>
      <c r="I53" s="140"/>
      <c r="J53" s="139"/>
      <c r="K53" s="140"/>
      <c r="L53" s="110">
        <f>H58-SUM(J12:K51)</f>
        <v>0</v>
      </c>
    </row>
    <row r="54" spans="1:15" s="27" customFormat="1" ht="11.5" customHeight="1" x14ac:dyDescent="0.3">
      <c r="A54" s="52">
        <v>11300</v>
      </c>
      <c r="B54" s="136" t="s">
        <v>80</v>
      </c>
      <c r="C54" s="137"/>
      <c r="D54" s="137"/>
      <c r="E54" s="137"/>
      <c r="F54" s="137"/>
      <c r="G54" s="138"/>
      <c r="H54" s="139"/>
      <c r="I54" s="140"/>
      <c r="J54" s="139"/>
      <c r="K54" s="140"/>
      <c r="L54" s="110">
        <f>L53-H23-H24+J47+L17-Données!C29</f>
        <v>0</v>
      </c>
    </row>
    <row r="55" spans="1:15" s="27" customFormat="1" ht="11.5" customHeight="1" x14ac:dyDescent="0.3">
      <c r="A55" s="50">
        <v>558000</v>
      </c>
      <c r="B55" s="146" t="s">
        <v>28</v>
      </c>
      <c r="C55" s="147"/>
      <c r="D55" s="147"/>
      <c r="E55" s="147"/>
      <c r="F55" s="147"/>
      <c r="G55" s="148"/>
      <c r="H55" s="139"/>
      <c r="I55" s="140"/>
      <c r="J55" s="170">
        <f>Données!C51*B63</f>
        <v>0</v>
      </c>
      <c r="K55" s="171"/>
      <c r="L55" s="117"/>
    </row>
    <row r="56" spans="1:15" s="27" customFormat="1" ht="11.5" customHeight="1" x14ac:dyDescent="0.3">
      <c r="A56" s="53"/>
      <c r="B56" s="68" t="s">
        <v>105</v>
      </c>
      <c r="C56" s="188">
        <f>Données!C51</f>
        <v>0</v>
      </c>
      <c r="D56" s="188"/>
      <c r="E56" s="66"/>
      <c r="F56" s="66"/>
      <c r="G56" s="67"/>
      <c r="H56" s="182"/>
      <c r="I56" s="183"/>
      <c r="J56" s="182"/>
      <c r="K56" s="183"/>
      <c r="L56" s="2"/>
      <c r="O56" s="106"/>
    </row>
    <row r="57" spans="1:15" s="27" customFormat="1" ht="11.25" customHeight="1" x14ac:dyDescent="0.25">
      <c r="A57" s="54"/>
      <c r="B57" s="189" t="s">
        <v>26</v>
      </c>
      <c r="C57" s="190"/>
      <c r="D57" s="190"/>
      <c r="E57" s="190"/>
      <c r="F57" s="190"/>
      <c r="G57" s="191"/>
      <c r="H57" s="186"/>
      <c r="I57" s="187"/>
      <c r="J57" s="186"/>
      <c r="K57" s="187"/>
      <c r="L57" s="1"/>
    </row>
    <row r="58" spans="1:15" ht="12.75" customHeight="1" x14ac:dyDescent="0.3">
      <c r="A58" s="76"/>
      <c r="B58" s="184" t="s">
        <v>0</v>
      </c>
      <c r="C58" s="185"/>
      <c r="D58" s="160">
        <f>H58+L58</f>
        <v>0</v>
      </c>
      <c r="E58" s="161"/>
      <c r="F58" s="28" t="s">
        <v>1</v>
      </c>
      <c r="H58" s="160">
        <f>SUM(H11:H26)</f>
        <v>0</v>
      </c>
      <c r="I58" s="161"/>
      <c r="J58" s="160">
        <f>SUM(J11:J56)</f>
        <v>0</v>
      </c>
      <c r="K58" s="160"/>
      <c r="L58" s="111">
        <f>SUM(L30:L52)</f>
        <v>0</v>
      </c>
    </row>
    <row r="59" spans="1:15" ht="19.5" customHeight="1" x14ac:dyDescent="0.3">
      <c r="A59" s="74"/>
      <c r="B59" s="75">
        <f>B9</f>
        <v>0</v>
      </c>
      <c r="C59" s="74"/>
      <c r="D59" s="177" t="s">
        <v>4</v>
      </c>
      <c r="E59" s="178"/>
      <c r="F59" s="179" t="s">
        <v>3</v>
      </c>
      <c r="G59" s="179"/>
      <c r="H59" s="179"/>
      <c r="I59" s="180">
        <f>L53-J55</f>
        <v>0</v>
      </c>
      <c r="J59" s="181"/>
      <c r="K59" s="181"/>
      <c r="L59" s="29" t="s">
        <v>2</v>
      </c>
    </row>
    <row r="60" spans="1:15" ht="17.25" customHeight="1" x14ac:dyDescent="0.3">
      <c r="A60" s="49" t="s">
        <v>27</v>
      </c>
      <c r="B60" s="158" t="s">
        <v>5</v>
      </c>
      <c r="C60" s="159"/>
    </row>
    <row r="61" spans="1:15" s="27" customFormat="1" ht="12.75" customHeight="1" thickBot="1" x14ac:dyDescent="0.35">
      <c r="B61" s="30">
        <f>Valeurs!F16</f>
        <v>0</v>
      </c>
    </row>
    <row r="62" spans="1:15" ht="18" customHeight="1" x14ac:dyDescent="0.3">
      <c r="A62" s="55" t="s">
        <v>6</v>
      </c>
      <c r="B62" s="158" t="s">
        <v>7</v>
      </c>
      <c r="C62" s="159"/>
      <c r="E62" s="107"/>
      <c r="F62" s="270">
        <f>Données!C3</f>
        <v>0</v>
      </c>
      <c r="G62" s="270"/>
      <c r="H62" s="270">
        <f>Données!C4</f>
        <v>0</v>
      </c>
      <c r="I62" s="270"/>
      <c r="J62" s="270"/>
      <c r="K62" s="271"/>
    </row>
    <row r="63" spans="1:15" ht="12" customHeight="1" thickBot="1" x14ac:dyDescent="0.35">
      <c r="A63" s="56"/>
      <c r="B63" s="160">
        <f>L53+J28+J26+L52+J50+J51+J47+L17-H14-H15-H16</f>
        <v>0</v>
      </c>
      <c r="C63" s="161"/>
      <c r="E63" s="267"/>
      <c r="F63" s="268"/>
      <c r="G63" s="268"/>
      <c r="H63" s="268"/>
      <c r="I63" s="268"/>
      <c r="J63" s="268"/>
      <c r="K63" s="269"/>
    </row>
    <row r="64" spans="1:15" ht="14.5" x14ac:dyDescent="0.3">
      <c r="A64" s="154"/>
      <c r="B64" s="154"/>
      <c r="C64" s="154"/>
      <c r="E64" s="156"/>
      <c r="F64" s="156"/>
      <c r="G64" s="156"/>
      <c r="H64" s="156"/>
      <c r="I64" s="156"/>
      <c r="J64" s="156"/>
      <c r="K64" s="156"/>
    </row>
  </sheetData>
  <sheetProtection algorithmName="SHA-512" hashValue="ju+QH6wWdNa+m8fq9fopx+P/1Kg7QHdFQ+VerIU+H5fd/3n3zcLXrzotWNYSC8osC5gUYIuVpD0LTYMCnYr4zw==" saltValue="K7BRnFxVf/ODaBiMI4+sBA==" spinCount="100000" sheet="1" objects="1" scenarios="1" autoFilter="0"/>
  <autoFilter ref="B11:G63" xr:uid="{11AAE063-F548-450D-A9F7-F0DF7D69DCD2}">
    <filterColumn colId="0" showButton="0">
      <customFilters>
        <customFilter operator="notEqual" val=" "/>
      </customFilters>
    </filterColumn>
    <filterColumn colId="1" showButton="0"/>
    <filterColumn colId="2" showButton="0"/>
    <filterColumn colId="3" showButton="0"/>
    <filterColumn colId="4" showButton="0"/>
  </autoFilter>
  <mergeCells count="161">
    <mergeCell ref="B63:C63"/>
    <mergeCell ref="E63:K63"/>
    <mergeCell ref="A64:C64"/>
    <mergeCell ref="E64:K64"/>
    <mergeCell ref="B25:G25"/>
    <mergeCell ref="B29:G29"/>
    <mergeCell ref="B46:G46"/>
    <mergeCell ref="B43:G43"/>
    <mergeCell ref="D59:E59"/>
    <mergeCell ref="F59:H59"/>
    <mergeCell ref="I59:K59"/>
    <mergeCell ref="B60:C60"/>
    <mergeCell ref="B62:C62"/>
    <mergeCell ref="F62:G62"/>
    <mergeCell ref="H62:K62"/>
    <mergeCell ref="B57:G57"/>
    <mergeCell ref="H57:I57"/>
    <mergeCell ref="J57:K57"/>
    <mergeCell ref="B58:C58"/>
    <mergeCell ref="D58:E58"/>
    <mergeCell ref="H58:I58"/>
    <mergeCell ref="J58:K58"/>
    <mergeCell ref="H25:I25"/>
    <mergeCell ref="H29:I29"/>
    <mergeCell ref="B55:G55"/>
    <mergeCell ref="H55:I55"/>
    <mergeCell ref="J55:K55"/>
    <mergeCell ref="C56:D56"/>
    <mergeCell ref="H56:I56"/>
    <mergeCell ref="J56:K56"/>
    <mergeCell ref="B53:G53"/>
    <mergeCell ref="H53:I53"/>
    <mergeCell ref="J53:K53"/>
    <mergeCell ref="B54:G54"/>
    <mergeCell ref="H54:I54"/>
    <mergeCell ref="J54:K54"/>
    <mergeCell ref="B51:G51"/>
    <mergeCell ref="H51:I51"/>
    <mergeCell ref="J51:K51"/>
    <mergeCell ref="B52:G52"/>
    <mergeCell ref="H52:I52"/>
    <mergeCell ref="J52:K52"/>
    <mergeCell ref="B49:G49"/>
    <mergeCell ref="H49:I49"/>
    <mergeCell ref="J49:K49"/>
    <mergeCell ref="B50:G50"/>
    <mergeCell ref="H50:I50"/>
    <mergeCell ref="J50:K50"/>
    <mergeCell ref="B42:G42"/>
    <mergeCell ref="B48:G48"/>
    <mergeCell ref="H48:I48"/>
    <mergeCell ref="J48:K48"/>
    <mergeCell ref="B44:G44"/>
    <mergeCell ref="J45:K45"/>
    <mergeCell ref="J46:K46"/>
    <mergeCell ref="B38:G38"/>
    <mergeCell ref="H38:I38"/>
    <mergeCell ref="J38:K38"/>
    <mergeCell ref="B41:G41"/>
    <mergeCell ref="H41:I41"/>
    <mergeCell ref="J41:K41"/>
    <mergeCell ref="H39:I39"/>
    <mergeCell ref="J39:K39"/>
    <mergeCell ref="J42:K42"/>
    <mergeCell ref="J43:K43"/>
    <mergeCell ref="J44:K44"/>
    <mergeCell ref="B45:G45"/>
    <mergeCell ref="B40:G40"/>
    <mergeCell ref="J47:K47"/>
    <mergeCell ref="B47:G47"/>
    <mergeCell ref="B36:G36"/>
    <mergeCell ref="H36:I36"/>
    <mergeCell ref="J36:K36"/>
    <mergeCell ref="B37:G37"/>
    <mergeCell ref="H37:I37"/>
    <mergeCell ref="J37:K37"/>
    <mergeCell ref="B34:G34"/>
    <mergeCell ref="H34:I34"/>
    <mergeCell ref="J34:K34"/>
    <mergeCell ref="B35:G35"/>
    <mergeCell ref="H35:I35"/>
    <mergeCell ref="J35:K35"/>
    <mergeCell ref="B31:G31"/>
    <mergeCell ref="H31:I31"/>
    <mergeCell ref="J31:K31"/>
    <mergeCell ref="B33:G33"/>
    <mergeCell ref="H33:I33"/>
    <mergeCell ref="J33:K33"/>
    <mergeCell ref="B28:G28"/>
    <mergeCell ref="H28:I28"/>
    <mergeCell ref="J28:K28"/>
    <mergeCell ref="B30:G30"/>
    <mergeCell ref="H30:I30"/>
    <mergeCell ref="J30:K30"/>
    <mergeCell ref="J29:K29"/>
    <mergeCell ref="B32:G32"/>
    <mergeCell ref="B26:G26"/>
    <mergeCell ref="H26:I26"/>
    <mergeCell ref="J26:K26"/>
    <mergeCell ref="B27:G27"/>
    <mergeCell ref="H27:I27"/>
    <mergeCell ref="J27:K27"/>
    <mergeCell ref="B23:G23"/>
    <mergeCell ref="H23:I23"/>
    <mergeCell ref="J23:K23"/>
    <mergeCell ref="B24:G24"/>
    <mergeCell ref="H24:I24"/>
    <mergeCell ref="J24:K24"/>
    <mergeCell ref="J25:K25"/>
    <mergeCell ref="H21:I21"/>
    <mergeCell ref="J21:K21"/>
    <mergeCell ref="B22:G22"/>
    <mergeCell ref="H22:I22"/>
    <mergeCell ref="J22:K22"/>
    <mergeCell ref="B19:G19"/>
    <mergeCell ref="H19:I19"/>
    <mergeCell ref="J19:K19"/>
    <mergeCell ref="B20:G20"/>
    <mergeCell ref="H20:I20"/>
    <mergeCell ref="J20:K20"/>
    <mergeCell ref="A1:A3"/>
    <mergeCell ref="F1:H2"/>
    <mergeCell ref="I1:J1"/>
    <mergeCell ref="K1:L1"/>
    <mergeCell ref="A5:D5"/>
    <mergeCell ref="F5:K5"/>
    <mergeCell ref="I2:J2"/>
    <mergeCell ref="G3:J3"/>
    <mergeCell ref="B12:G12"/>
    <mergeCell ref="H12:I12"/>
    <mergeCell ref="J12:K12"/>
    <mergeCell ref="I9:J9"/>
    <mergeCell ref="A10:L10"/>
    <mergeCell ref="B11:G11"/>
    <mergeCell ref="H11:I11"/>
    <mergeCell ref="J11:K11"/>
    <mergeCell ref="A6:L6"/>
    <mergeCell ref="N23:Q27"/>
    <mergeCell ref="A7:D7"/>
    <mergeCell ref="F7:F8"/>
    <mergeCell ref="G7:G8"/>
    <mergeCell ref="I7:J7"/>
    <mergeCell ref="B8:C8"/>
    <mergeCell ref="I8:J8"/>
    <mergeCell ref="B13:G13"/>
    <mergeCell ref="H13:I13"/>
    <mergeCell ref="J13:K13"/>
    <mergeCell ref="B16:G16"/>
    <mergeCell ref="H16:I16"/>
    <mergeCell ref="J16:K16"/>
    <mergeCell ref="B18:G18"/>
    <mergeCell ref="H18:I18"/>
    <mergeCell ref="J18:K18"/>
    <mergeCell ref="B14:G14"/>
    <mergeCell ref="H14:I14"/>
    <mergeCell ref="J14:K14"/>
    <mergeCell ref="B15:G15"/>
    <mergeCell ref="H15:I15"/>
    <mergeCell ref="J15:K15"/>
    <mergeCell ref="B17:G17"/>
    <mergeCell ref="B21:G21"/>
  </mergeCells>
  <pageMargins left="0.25" right="0.25"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5DF2A-24FA-4DEF-A919-AB85F1C4E583}">
  <sheetPr>
    <tabColor rgb="FFFF0000"/>
  </sheetPr>
  <dimension ref="B1:F24"/>
  <sheetViews>
    <sheetView workbookViewId="0">
      <selection activeCell="F12" sqref="F12"/>
    </sheetView>
  </sheetViews>
  <sheetFormatPr baseColWidth="10" defaultRowHeight="13" x14ac:dyDescent="0.3"/>
  <cols>
    <col min="2" max="2" width="26.796875" customWidth="1"/>
    <col min="4" max="4" width="15" customWidth="1"/>
    <col min="5" max="5" width="19.69921875" customWidth="1"/>
  </cols>
  <sheetData>
    <row r="1" spans="2:6" x14ac:dyDescent="0.3">
      <c r="B1" t="s">
        <v>65</v>
      </c>
      <c r="C1" s="84">
        <v>59.073399999999999</v>
      </c>
      <c r="E1" s="37" t="s">
        <v>104</v>
      </c>
      <c r="F1" s="35">
        <f>IF(Données!C16="Temps Incomplet",Données!C18,IF(Données!C16="Temps Partiel",Données!C17,100%))</f>
        <v>1</v>
      </c>
    </row>
    <row r="2" spans="2:6" x14ac:dyDescent="0.3">
      <c r="B2" t="s">
        <v>52</v>
      </c>
      <c r="C2" s="85">
        <f>C1/12</f>
        <v>4.9227833333333333</v>
      </c>
      <c r="E2" s="37" t="s">
        <v>103</v>
      </c>
      <c r="F2" s="36">
        <f>F1*IF(Données!C21="A",32.42,IF(Données!C21="B",23.17,IF(Données!C21="C",13.92,0)))</f>
        <v>0</v>
      </c>
    </row>
    <row r="3" spans="2:6" x14ac:dyDescent="0.3">
      <c r="B3" t="s">
        <v>53</v>
      </c>
      <c r="C3" s="84">
        <v>4005</v>
      </c>
      <c r="F3" s="36">
        <f>IF(Données!C22=0,0,IF(Données!C22=1,2.29,IF(Données!C22=2,10.67+0.03*Valeurs!C2*MEDIAN(Valeurs!C4,Valeurs!C5,Données!C13+Données!C19),15.24+4.57*(Données!C22-3)+((Données!C22-3)*0.06+0.08)*Valeurs!C2*MEDIAN(Données!C13+Données!C19,Valeurs!C4,Valeurs!C5))))*Valeurs!F1</f>
        <v>0</v>
      </c>
    </row>
    <row r="4" spans="2:6" x14ac:dyDescent="0.3">
      <c r="B4" t="s">
        <v>63</v>
      </c>
      <c r="C4" s="84">
        <v>454</v>
      </c>
      <c r="F4" s="36">
        <f>IF(Données!C22=0,0,IF(Données!C22=1,2.29,IF(Données!C22=2,10.67+0.03*Valeurs!C2*Valeurs!C4,15.24+4.57*(Données!C22-3)+((Données!C22-3)*0.06+0.08)*Valeurs!C2*Valeurs!C4)))</f>
        <v>0</v>
      </c>
    </row>
    <row r="5" spans="2:6" x14ac:dyDescent="0.3">
      <c r="B5" t="s">
        <v>64</v>
      </c>
      <c r="C5" s="84">
        <v>722</v>
      </c>
      <c r="E5" t="s">
        <v>51</v>
      </c>
      <c r="F5" s="36">
        <f>IF(Données!C16="Temps Incomplet",Valeurs!F3,MAX(Valeurs!F4,Valeurs!F3))</f>
        <v>0</v>
      </c>
    </row>
    <row r="7" spans="2:6" x14ac:dyDescent="0.3">
      <c r="B7" t="s">
        <v>58</v>
      </c>
      <c r="C7" t="s">
        <v>56</v>
      </c>
      <c r="D7" t="s">
        <v>57</v>
      </c>
      <c r="E7" t="s">
        <v>85</v>
      </c>
      <c r="F7" s="80">
        <v>2.4E-2</v>
      </c>
    </row>
    <row r="8" spans="2:6" x14ac:dyDescent="0.3">
      <c r="B8" t="s">
        <v>55</v>
      </c>
      <c r="C8" s="86">
        <v>0.111</v>
      </c>
      <c r="D8" s="87">
        <v>0.82279999999999998</v>
      </c>
      <c r="E8" t="s">
        <v>86</v>
      </c>
      <c r="F8" s="80">
        <v>6.8000000000000005E-2</v>
      </c>
    </row>
    <row r="9" spans="2:6" x14ac:dyDescent="0.3">
      <c r="B9" t="s">
        <v>59</v>
      </c>
      <c r="C9" s="86">
        <v>6.9000000000000006E-2</v>
      </c>
      <c r="D9" s="87">
        <v>8.5500000000000007E-2</v>
      </c>
      <c r="E9" t="s">
        <v>87</v>
      </c>
      <c r="F9" s="80">
        <v>5.0000000000000001E-3</v>
      </c>
    </row>
    <row r="10" spans="2:6" x14ac:dyDescent="0.3">
      <c r="B10" t="s">
        <v>60</v>
      </c>
      <c r="C10" s="86">
        <v>4.0000000000000001E-3</v>
      </c>
      <c r="D10" s="87">
        <v>2.1100000000000001E-2</v>
      </c>
      <c r="E10" s="272"/>
      <c r="F10" s="272"/>
    </row>
    <row r="11" spans="2:6" x14ac:dyDescent="0.3">
      <c r="B11" t="s">
        <v>61</v>
      </c>
      <c r="C11" s="86">
        <v>2.8400000000000002E-2</v>
      </c>
      <c r="D11" s="87">
        <v>4.2700000000000002E-2</v>
      </c>
    </row>
    <row r="12" spans="2:6" x14ac:dyDescent="0.3">
      <c r="B12" t="s">
        <v>62</v>
      </c>
      <c r="C12" s="86">
        <v>7.0599999999999996E-2</v>
      </c>
      <c r="D12" s="87">
        <v>0.1275</v>
      </c>
      <c r="E12" s="37" t="s">
        <v>119</v>
      </c>
      <c r="F12" s="46">
        <f>(Données!C38+Données!C56-Valeurs!F2+Fonctionnaire!H11+Fonctionnaire!H14+Fonctionnaire!H15+Fonctionnaire!H16)*0.9825+Données!C48</f>
        <v>0</v>
      </c>
    </row>
    <row r="13" spans="2:6" x14ac:dyDescent="0.3">
      <c r="B13" s="37" t="s">
        <v>72</v>
      </c>
      <c r="D13" s="87">
        <v>3.4500000000000003E-2</v>
      </c>
      <c r="E13" s="35"/>
    </row>
    <row r="14" spans="2:6" x14ac:dyDescent="0.3">
      <c r="B14" s="37" t="s">
        <v>71</v>
      </c>
      <c r="D14" s="87">
        <v>5.0000000000000001E-3</v>
      </c>
      <c r="E14" s="83" t="s">
        <v>120</v>
      </c>
      <c r="F14" s="46">
        <f>(Données!C38+Données!C56+'Agent Non Titulaire'!H11+'Agent Non Titulaire'!H12+'Agent Non Titulaire'!H13)*0.9825+Données!C48</f>
        <v>0</v>
      </c>
    </row>
    <row r="15" spans="2:6" x14ac:dyDescent="0.3">
      <c r="B15" s="37" t="s">
        <v>73</v>
      </c>
      <c r="D15" s="87">
        <v>3.0000000000000001E-3</v>
      </c>
      <c r="E15" s="37" t="s">
        <v>121</v>
      </c>
      <c r="F15" s="46">
        <f>MIN(F16,Valeurs!C3)</f>
        <v>0</v>
      </c>
    </row>
    <row r="16" spans="2:6" x14ac:dyDescent="0.3">
      <c r="B16" s="37" t="s">
        <v>74</v>
      </c>
      <c r="D16" s="87">
        <v>9.7000000000000003E-2</v>
      </c>
      <c r="E16" s="37" t="s">
        <v>122</v>
      </c>
      <c r="F16" s="46">
        <f>Données!C38+Données!C56+'Agent Non Titulaire'!H11+'Agent Non Titulaire'!H12+'Agent Non Titulaire'!H13</f>
        <v>0</v>
      </c>
    </row>
    <row r="17" spans="2:6" x14ac:dyDescent="0.3">
      <c r="B17" s="37" t="s">
        <v>75</v>
      </c>
      <c r="D17" s="87">
        <v>3.2000000000000002E-3</v>
      </c>
      <c r="E17" s="37" t="s">
        <v>125</v>
      </c>
      <c r="F17" s="46">
        <f>Données!C38+Données!C56+'Agent Non Titulaire'!H11+'Agent Non Titulaire'!H12</f>
        <v>0</v>
      </c>
    </row>
    <row r="18" spans="2:6" x14ac:dyDescent="0.3">
      <c r="B18" s="37" t="s">
        <v>79</v>
      </c>
      <c r="D18" s="87">
        <v>1.7999999999999999E-2</v>
      </c>
      <c r="E18" s="37" t="s">
        <v>123</v>
      </c>
      <c r="F18" s="46">
        <f>MIN(F17,Valeurs!C3)</f>
        <v>0</v>
      </c>
    </row>
    <row r="19" spans="2:6" x14ac:dyDescent="0.3">
      <c r="B19" s="37" t="s">
        <v>127</v>
      </c>
      <c r="D19" s="87">
        <v>8.8000000000000005E-3</v>
      </c>
      <c r="E19" s="37" t="s">
        <v>124</v>
      </c>
      <c r="F19" s="46">
        <f>IF(F17&gt;Valeurs!C3,F17-Valeurs!C3,0)</f>
        <v>0</v>
      </c>
    </row>
    <row r="20" spans="2:6" x14ac:dyDescent="0.3">
      <c r="B20" s="37" t="s">
        <v>81</v>
      </c>
      <c r="D20" s="87">
        <v>7.0000000000000007E-2</v>
      </c>
    </row>
    <row r="21" spans="2:6" x14ac:dyDescent="0.3">
      <c r="B21" s="37" t="s">
        <v>82</v>
      </c>
      <c r="D21" s="87">
        <v>0.06</v>
      </c>
    </row>
    <row r="22" spans="2:6" x14ac:dyDescent="0.3">
      <c r="B22" s="37" t="s">
        <v>129</v>
      </c>
      <c r="D22" s="108">
        <v>0.08</v>
      </c>
    </row>
    <row r="23" spans="2:6" x14ac:dyDescent="0.3">
      <c r="B23" s="37" t="s">
        <v>83</v>
      </c>
      <c r="D23" s="87">
        <v>0.04</v>
      </c>
    </row>
    <row r="24" spans="2:6" ht="14" x14ac:dyDescent="0.3">
      <c r="B24" s="37" t="s">
        <v>126</v>
      </c>
      <c r="D24" s="81">
        <f>Données!C59</f>
        <v>0</v>
      </c>
    </row>
  </sheetData>
  <sheetProtection algorithmName="SHA-512" hashValue="Vf+3S3Q1kz9x63zasbI5Twiznlw9A+FuL7D6jdW3xLbM2rh4k5fa8rRR7Z/B8BmyZ8xSSbJvLWvOkhHv6C6Amw==" saltValue="A5H3sPBQzo5HEaulN8/Hpw==" spinCount="100000" sheet="1" objects="1" scenarios="1"/>
  <mergeCells count="1">
    <mergeCell ref="E10:F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scriptIds xmlns="http://schemas.microsoft.com/office/extensibility/maker/v1.0" id="script-ids-node-id"/>
</file>

<file path=customXml/item3.xml><?xml version="1.0" encoding="utf-8"?>
<p:properties xmlns:p="http://schemas.microsoft.com/office/2006/metadata/properties" xmlns:xsi="http://www.w3.org/2001/XMLSchema-instance" xmlns:pc="http://schemas.microsoft.com/office/infopath/2007/PartnerControls">
  <documentManagement>
    <TaxCatchAll xmlns="429d3a5c-dba6-4b10-8239-7d18c1329ac3" xsi:nil="true"/>
    <lcf76f155ced4ddcb4097134ff3c332f xmlns="6eb655d9-47f7-4d4b-bf0e-863782d5594b">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5E023D4448315547977605A1674ADCFA" ma:contentTypeVersion="13" ma:contentTypeDescription="Crée un document." ma:contentTypeScope="" ma:versionID="96577cab7e2c3440ad80b65e54c3a526">
  <xsd:schema xmlns:xsd="http://www.w3.org/2001/XMLSchema" xmlns:xs="http://www.w3.org/2001/XMLSchema" xmlns:p="http://schemas.microsoft.com/office/2006/metadata/properties" xmlns:ns2="6eb655d9-47f7-4d4b-bf0e-863782d5594b" xmlns:ns3="429d3a5c-dba6-4b10-8239-7d18c1329ac3" targetNamespace="http://schemas.microsoft.com/office/2006/metadata/properties" ma:root="true" ma:fieldsID="1fee7f5d0d8bac339f35a11bbc4e55a3" ns2:_="" ns3:_="">
    <xsd:import namespace="6eb655d9-47f7-4d4b-bf0e-863782d5594b"/>
    <xsd:import namespace="429d3a5c-dba6-4b10-8239-7d18c1329ac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b655d9-47f7-4d4b-bf0e-863782d559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alises d’images" ma:readOnly="false" ma:fieldId="{5cf76f15-5ced-4ddc-b409-7134ff3c332f}" ma:taxonomyMulti="true" ma:sspId="a6e4bde7-cf7c-4258-8943-b1eeffd9ea7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29d3a5c-dba6-4b10-8239-7d18c1329ac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f14e67b-62fa-4403-9b8c-2b414c1695bb}" ma:internalName="TaxCatchAll" ma:showField="CatchAllData" ma:web="429d3a5c-dba6-4b10-8239-7d18c1329a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CE5BD3-3652-4EF5-B09C-EA95A23F08C3}">
  <ds:schemaRefs>
    <ds:schemaRef ds:uri="http://schemas.microsoft.com/sharepoint/v3/contenttype/forms"/>
  </ds:schemaRefs>
</ds:datastoreItem>
</file>

<file path=customXml/itemProps2.xml><?xml version="1.0" encoding="utf-8"?>
<ds:datastoreItem xmlns:ds="http://schemas.openxmlformats.org/officeDocument/2006/customXml" ds:itemID="{53ABF132-EF7E-430C-AA4F-69AB1E961678}">
  <ds:schemaRefs>
    <ds:schemaRef ds:uri="http://schemas.microsoft.com/office/extensibility/maker/v1.0"/>
  </ds:schemaRefs>
</ds:datastoreItem>
</file>

<file path=customXml/itemProps3.xml><?xml version="1.0" encoding="utf-8"?>
<ds:datastoreItem xmlns:ds="http://schemas.openxmlformats.org/officeDocument/2006/customXml" ds:itemID="{42DE3989-703B-4402-913B-3EE6A967A455}">
  <ds:schemaRefs>
    <ds:schemaRef ds:uri="http://schemas.microsoft.com/office/2006/metadata/properties"/>
    <ds:schemaRef ds:uri="http://schemas.microsoft.com/office/infopath/2007/PartnerControls"/>
    <ds:schemaRef ds:uri="429d3a5c-dba6-4b10-8239-7d18c1329ac3"/>
    <ds:schemaRef ds:uri="6eb655d9-47f7-4d4b-bf0e-863782d5594b"/>
  </ds:schemaRefs>
</ds:datastoreItem>
</file>

<file path=customXml/itemProps4.xml><?xml version="1.0" encoding="utf-8"?>
<ds:datastoreItem xmlns:ds="http://schemas.openxmlformats.org/officeDocument/2006/customXml" ds:itemID="{C312B919-C294-40ED-B42E-7110C27A51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b655d9-47f7-4d4b-bf0e-863782d5594b"/>
    <ds:schemaRef ds:uri="429d3a5c-dba6-4b10-8239-7d18c1329a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2</vt:i4>
      </vt:variant>
    </vt:vector>
  </HeadingPairs>
  <TitlesOfParts>
    <vt:vector size="7" baseType="lpstr">
      <vt:lpstr>Données</vt:lpstr>
      <vt:lpstr>Liste Indemnités</vt:lpstr>
      <vt:lpstr>Fonctionnaire</vt:lpstr>
      <vt:lpstr>Agent Non Titulaire</vt:lpstr>
      <vt:lpstr>Valeurs</vt:lpstr>
      <vt:lpstr>CODE1</vt:lpstr>
      <vt:lpstr>CODE2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PAY18E</dc:title>
  <dc:creator>Registered to: DGCP</dc:creator>
  <cp:lastModifiedBy>FPMD FORMATIONS – Dominique MASSACRIER</cp:lastModifiedBy>
  <cp:lastPrinted>2026-08-31T12:56:57Z</cp:lastPrinted>
  <dcterms:created xsi:type="dcterms:W3CDTF">2024-03-27T20:14:01Z</dcterms:created>
  <dcterms:modified xsi:type="dcterms:W3CDTF">2026-09-01T13:39:58Z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2024-03-27T00:00:00Z</vt:filetime>
  </property>
  <property fmtid="{D5CDD505-2E9C-101B-9397-08002B2CF9AE}" pid="3" name="Creator">
    <vt:lpwstr>OpenText Exstream Version 9.5.304 64-bit</vt:lpwstr>
  </property>
  <property fmtid="{D5CDD505-2E9C-101B-9397-08002B2CF9AE}" pid="4" name="LastSaved">
    <vt:filetime>2024-03-27T00:00:00Z</vt:filetime>
  </property>
  <property fmtid="{D5CDD505-2E9C-101B-9397-08002B2CF9AE}" pid="5" name="ContentTypeId">
    <vt:lpwstr>0x0101005E023D4448315547977605A1674ADCFA</vt:lpwstr>
  </property>
  <property fmtid="{D5CDD505-2E9C-101B-9397-08002B2CF9AE}" pid="6" name="MediaServiceImageTags">
    <vt:lpwstr/>
  </property>
</Properties>
</file>